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410"/>
  </bookViews>
  <sheets>
    <sheet name="资产负债表2020" sheetId="2" r:id="rId1"/>
    <sheet name="利润表2020" sheetId="8" r:id="rId2"/>
    <sheet name="现流表2020" sheetId="9" r:id="rId3"/>
    <sheet name="现流表-附表2020" sheetId="14" r:id="rId4"/>
    <sheet name="权益变动表2020" sheetId="10" r:id="rId5"/>
    <sheet name="资产负债表合并过程" sheetId="1" r:id="rId6"/>
    <sheet name="利润表合并过程" sheetId="3" r:id="rId7"/>
    <sheet name="现金流量表合并过程" sheetId="11" r:id="rId8"/>
    <sheet name="附表合并过程" sheetId="12" r:id="rId9"/>
    <sheet name="发控-权益变动表" sheetId="7" r:id="rId10"/>
    <sheet name="物业-权益变动表" sheetId="13" r:id="rId11"/>
    <sheet name="农业-权益变动表 " sheetId="16" r:id="rId12"/>
    <sheet name="计提坏账" sheetId="6" r:id="rId13"/>
    <sheet name="调整" sheetId="5" r:id="rId14"/>
  </sheets>
  <externalReferences>
    <externalReference r:id="rId15"/>
    <externalReference r:id="rId16"/>
    <externalReference r:id="rId17"/>
  </externalReferences>
  <definedNames>
    <definedName name="_xlnm.Print_Area" localSheetId="3">'现流表-附表2020'!$A$1:$D$33</definedName>
    <definedName name="_xlnm.Print_Area" localSheetId="0">资产负债表2020!$A$1:$H$80</definedName>
    <definedName name="_xlnm.Print_Area" localSheetId="1">利润表2020!$A$1:$H$39</definedName>
    <definedName name="_xlnm.Print_Area" localSheetId="4">权益变动表2020!$A$1:$M$33</definedName>
    <definedName name="_xlnm.Print_Area" localSheetId="2">现流表2020!$A$1:$H$34</definedName>
    <definedName name="_xlnm.Print_Area" localSheetId="11">'农业-权益变动表 '!$A$1:$M$33</definedName>
    <definedName name="_xlnm.Print_Area" localSheetId="10">'物业-权益变动表'!$A$1:$M$33</definedName>
  </definedNames>
  <calcPr calcId="144525"/>
</workbook>
</file>

<file path=xl/comments1.xml><?xml version="1.0" encoding="utf-8"?>
<comments xmlns="http://schemas.openxmlformats.org/spreadsheetml/2006/main">
  <authors>
    <author>陈宗辉</author>
  </authors>
  <commentList>
    <comment ref="F7" authorId="0">
      <text>
        <r>
          <rPr>
            <b/>
            <sz val="9"/>
            <rFont val="宋体"/>
            <charset val="134"/>
          </rPr>
          <t>陈宗辉:</t>
        </r>
        <r>
          <rPr>
            <sz val="9"/>
            <rFont val="宋体"/>
            <charset val="134"/>
          </rPr>
          <t xml:space="preserve">
调到经营性应付吧。</t>
        </r>
      </text>
    </comment>
  </commentList>
</comments>
</file>

<file path=xl/comments2.xml><?xml version="1.0" encoding="utf-8"?>
<comments xmlns="http://schemas.openxmlformats.org/spreadsheetml/2006/main">
  <authors>
    <author>陈宗辉</author>
  </authors>
  <commentList>
    <comment ref="F77" authorId="0">
      <text>
        <r>
          <rPr>
            <b/>
            <sz val="9"/>
            <rFont val="宋体"/>
            <charset val="134"/>
          </rPr>
          <t>陈宗辉:</t>
        </r>
        <r>
          <rPr>
            <sz val="9"/>
            <rFont val="宋体"/>
            <charset val="134"/>
          </rPr>
          <t xml:space="preserve">
上年审定数</t>
        </r>
      </text>
    </comment>
    <comment ref="F79" authorId="0">
      <text>
        <r>
          <rPr>
            <b/>
            <sz val="9"/>
            <rFont val="宋体"/>
            <charset val="134"/>
          </rPr>
          <t>陈宗辉:</t>
        </r>
        <r>
          <rPr>
            <sz val="9"/>
            <rFont val="宋体"/>
            <charset val="134"/>
          </rPr>
          <t xml:space="preserve">
会计差错更正数，参看未分配利润附注</t>
        </r>
      </text>
    </comment>
  </commentList>
</comments>
</file>

<file path=xl/comments3.xml><?xml version="1.0" encoding="utf-8"?>
<comments xmlns="http://schemas.openxmlformats.org/spreadsheetml/2006/main">
  <authors>
    <author>陈宗辉</author>
  </authors>
  <commentList>
    <comment ref="F6" authorId="0">
      <text>
        <r>
          <rPr>
            <b/>
            <sz val="9"/>
            <rFont val="宋体"/>
            <charset val="134"/>
          </rPr>
          <t>陈宗辉:</t>
        </r>
        <r>
          <rPr>
            <sz val="9"/>
            <rFont val="宋体"/>
            <charset val="134"/>
          </rPr>
          <t xml:space="preserve">
上年审定数</t>
        </r>
      </text>
    </comment>
    <comment ref="F8" authorId="0">
      <text>
        <r>
          <rPr>
            <b/>
            <sz val="9"/>
            <rFont val="宋体"/>
            <charset val="134"/>
          </rPr>
          <t>陈宗辉:</t>
        </r>
        <r>
          <rPr>
            <sz val="9"/>
            <rFont val="宋体"/>
            <charset val="134"/>
          </rPr>
          <t xml:space="preserve">
会计差错更正数，参看未分配利润附注</t>
        </r>
      </text>
    </comment>
  </commentList>
</comments>
</file>

<file path=xl/sharedStrings.xml><?xml version="1.0" encoding="utf-8"?>
<sst xmlns="http://schemas.openxmlformats.org/spreadsheetml/2006/main" count="2135" uniqueCount="611">
  <si>
    <t>资产负债表</t>
  </si>
  <si>
    <t>编制单位：海口市三江农场发展控股有限公司（合并）</t>
  </si>
  <si>
    <t>金额单位：元</t>
  </si>
  <si>
    <t>项            目</t>
  </si>
  <si>
    <t>行次</t>
  </si>
  <si>
    <t>期末余额</t>
  </si>
  <si>
    <t>期初余额</t>
  </si>
  <si>
    <t>流动资产：</t>
  </si>
  <si>
    <t>1</t>
  </si>
  <si>
    <t>-</t>
  </si>
  <si>
    <t>流动负债：</t>
  </si>
  <si>
    <t>75</t>
  </si>
  <si>
    <t xml:space="preserve">        货币资金</t>
  </si>
  <si>
    <t>2</t>
  </si>
  <si>
    <t xml:space="preserve">        短期借款</t>
  </si>
  <si>
    <t>76</t>
  </si>
  <si>
    <t xml:space="preserve">      △结算备付金</t>
  </si>
  <si>
    <t>3</t>
  </si>
  <si>
    <t xml:space="preserve">      △向中央银行借款</t>
  </si>
  <si>
    <t>77</t>
  </si>
  <si>
    <t xml:space="preserve">      △拆出资金</t>
  </si>
  <si>
    <t>4</t>
  </si>
  <si>
    <t xml:space="preserve">      △拆入资金</t>
  </si>
  <si>
    <t>78</t>
  </si>
  <si>
    <t xml:space="preserve">      ☆交易性金融资产</t>
  </si>
  <si>
    <t>5</t>
  </si>
  <si>
    <t xml:space="preserve">      ☆交易性金融负债</t>
  </si>
  <si>
    <t>79</t>
  </si>
  <si>
    <t xml:space="preserve">        以公允价值计量且其变动计入当期损益的金融资产</t>
  </si>
  <si>
    <t>6</t>
  </si>
  <si>
    <t xml:space="preserve">        以公允价值计量且其变动计入当期损益的金融负债</t>
  </si>
  <si>
    <t>80</t>
  </si>
  <si>
    <t xml:space="preserve">        衍生金融资产</t>
  </si>
  <si>
    <t>7</t>
  </si>
  <si>
    <t xml:space="preserve">        衍生金融负债</t>
  </si>
  <si>
    <t>81</t>
  </si>
  <si>
    <t xml:space="preserve">        应收票据</t>
  </si>
  <si>
    <t>8</t>
  </si>
  <si>
    <t xml:space="preserve">        应付票据</t>
  </si>
  <si>
    <t>82</t>
  </si>
  <si>
    <t xml:space="preserve">        应收账款</t>
  </si>
  <si>
    <t>9</t>
  </si>
  <si>
    <t xml:space="preserve">        应付账款</t>
  </si>
  <si>
    <t>83</t>
  </si>
  <si>
    <t xml:space="preserve">      ☆应收款项融资</t>
  </si>
  <si>
    <t>10</t>
  </si>
  <si>
    <t xml:space="preserve">        预收款项</t>
  </si>
  <si>
    <t>84</t>
  </si>
  <si>
    <t xml:space="preserve">        预付款项</t>
  </si>
  <si>
    <t>11</t>
  </si>
  <si>
    <t xml:space="preserve">      ☆合同负债</t>
  </si>
  <si>
    <t>85</t>
  </si>
  <si>
    <t xml:space="preserve">      △应收保费</t>
  </si>
  <si>
    <t>12</t>
  </si>
  <si>
    <t xml:space="preserve">      △卖出回购金融资产款</t>
  </si>
  <si>
    <t>86</t>
  </si>
  <si>
    <t xml:space="preserve">      △应收分保账款</t>
  </si>
  <si>
    <t>13</t>
  </si>
  <si>
    <t xml:space="preserve">      △吸收存款及同业存放</t>
  </si>
  <si>
    <t>87</t>
  </si>
  <si>
    <t xml:space="preserve">      △应收分保合同准备金</t>
  </si>
  <si>
    <t>14</t>
  </si>
  <si>
    <t xml:space="preserve">      △代理买卖证券款</t>
  </si>
  <si>
    <t>88</t>
  </si>
  <si>
    <t xml:space="preserve">        其他应收款</t>
  </si>
  <si>
    <t>15</t>
  </si>
  <si>
    <t xml:space="preserve">      △代理承销证券款</t>
  </si>
  <si>
    <t>89</t>
  </si>
  <si>
    <t xml:space="preserve">            其中：应收股利</t>
  </si>
  <si>
    <t>16</t>
  </si>
  <si>
    <t xml:space="preserve">        应付职工薪酬</t>
  </si>
  <si>
    <t>90</t>
  </si>
  <si>
    <t xml:space="preserve">      △买入返售金融资产</t>
  </si>
  <si>
    <t>17</t>
  </si>
  <si>
    <t xml:space="preserve">          其中：应付工资</t>
  </si>
  <si>
    <t>91</t>
  </si>
  <si>
    <t xml:space="preserve">        存货</t>
  </si>
  <si>
    <t>18</t>
  </si>
  <si>
    <t xml:space="preserve">               应付福利费</t>
  </si>
  <si>
    <t>92</t>
  </si>
  <si>
    <t xml:space="preserve">            其中：原材料</t>
  </si>
  <si>
    <t>19</t>
  </si>
  <si>
    <t xml:space="preserve">               #其中：职工奖励及福利基金</t>
  </si>
  <si>
    <t>93</t>
  </si>
  <si>
    <t xml:space="preserve">                  库存商品(产成品)</t>
  </si>
  <si>
    <t>20</t>
  </si>
  <si>
    <t xml:space="preserve">        应交税费</t>
  </si>
  <si>
    <t>94</t>
  </si>
  <si>
    <t xml:space="preserve">      ☆合同资产</t>
  </si>
  <si>
    <t>21</t>
  </si>
  <si>
    <t xml:space="preserve">            其中：应交税金</t>
  </si>
  <si>
    <t>95</t>
  </si>
  <si>
    <t xml:space="preserve">        持有待售资产</t>
  </si>
  <si>
    <t>22</t>
  </si>
  <si>
    <t xml:space="preserve">        其他应付款</t>
  </si>
  <si>
    <t>96</t>
  </si>
  <si>
    <t xml:space="preserve">        一年内到期的非流动资产</t>
  </si>
  <si>
    <t>23</t>
  </si>
  <si>
    <t xml:space="preserve">            其中：应付股利</t>
  </si>
  <si>
    <t>97</t>
  </si>
  <si>
    <t xml:space="preserve">        其他流动资产</t>
  </si>
  <si>
    <t>24</t>
  </si>
  <si>
    <t xml:space="preserve">      △应付手续费及佣金</t>
  </si>
  <si>
    <t>98</t>
  </si>
  <si>
    <t>流动资产合计</t>
  </si>
  <si>
    <t>25</t>
  </si>
  <si>
    <t xml:space="preserve">      △应付分保账款</t>
  </si>
  <si>
    <t>99</t>
  </si>
  <si>
    <t>非流动资产：</t>
  </si>
  <si>
    <t>26</t>
  </si>
  <si>
    <t xml:space="preserve">        持有待售负债</t>
  </si>
  <si>
    <t>100</t>
  </si>
  <si>
    <t xml:space="preserve">      △发放贷款和垫款</t>
  </si>
  <si>
    <t>27</t>
  </si>
  <si>
    <t xml:space="preserve">        一年内到期的非流动负债</t>
  </si>
  <si>
    <t>101</t>
  </si>
  <si>
    <t xml:space="preserve">      ☆债权投资</t>
  </si>
  <si>
    <t>28</t>
  </si>
  <si>
    <t xml:space="preserve">        其他流动负债</t>
  </si>
  <si>
    <t>102</t>
  </si>
  <si>
    <t xml:space="preserve">        可供出售金融资产</t>
  </si>
  <si>
    <t>29</t>
  </si>
  <si>
    <t>流动负债合计</t>
  </si>
  <si>
    <t>103</t>
  </si>
  <si>
    <t xml:space="preserve">      ☆其他债权投资</t>
  </si>
  <si>
    <t>30</t>
  </si>
  <si>
    <t>非流动负债：</t>
  </si>
  <si>
    <t>104</t>
  </si>
  <si>
    <t xml:space="preserve">        持有至到期投资</t>
  </si>
  <si>
    <t>31</t>
  </si>
  <si>
    <t xml:space="preserve">      △保险合同准备金</t>
  </si>
  <si>
    <t>105</t>
  </si>
  <si>
    <t xml:space="preserve">        长期应收款</t>
  </si>
  <si>
    <t>32</t>
  </si>
  <si>
    <t xml:space="preserve">        长期借款</t>
  </si>
  <si>
    <t>106</t>
  </si>
  <si>
    <t xml:space="preserve">        长期股权投资</t>
  </si>
  <si>
    <t>33</t>
  </si>
  <si>
    <t xml:space="preserve">        应付债券</t>
  </si>
  <si>
    <t>107</t>
  </si>
  <si>
    <t xml:space="preserve">      ☆其他权益工具投资</t>
  </si>
  <si>
    <t>34</t>
  </si>
  <si>
    <t xml:space="preserve">            其中：优先股</t>
  </si>
  <si>
    <t>108</t>
  </si>
  <si>
    <t xml:space="preserve">      ☆其他非流动金融资产</t>
  </si>
  <si>
    <t>35</t>
  </si>
  <si>
    <t xml:space="preserve">                  永续债</t>
  </si>
  <si>
    <t>109</t>
  </si>
  <si>
    <t xml:space="preserve">        投资性房地产</t>
  </si>
  <si>
    <t>36</t>
  </si>
  <si>
    <t xml:space="preserve">      ☆租赁负债</t>
  </si>
  <si>
    <t>110</t>
  </si>
  <si>
    <t xml:space="preserve">        固定资产</t>
  </si>
  <si>
    <t>37</t>
  </si>
  <si>
    <t xml:space="preserve">        长期应付款</t>
  </si>
  <si>
    <t>111</t>
  </si>
  <si>
    <t xml:space="preserve">            其中：固定资产原价</t>
  </si>
  <si>
    <t>38</t>
  </si>
  <si>
    <t xml:space="preserve">        长期应付职工薪酬</t>
  </si>
  <si>
    <t>112</t>
  </si>
  <si>
    <t xml:space="preserve">                  累计折旧</t>
  </si>
  <si>
    <t>39</t>
  </si>
  <si>
    <t xml:space="preserve">        预计负债</t>
  </si>
  <si>
    <t>113</t>
  </si>
  <si>
    <t xml:space="preserve">                  固定资产减值准备</t>
  </si>
  <si>
    <t>40</t>
  </si>
  <si>
    <t xml:space="preserve">        递延收益</t>
  </si>
  <si>
    <t>114</t>
  </si>
  <si>
    <t xml:space="preserve">        在建工程</t>
  </si>
  <si>
    <t>41</t>
  </si>
  <si>
    <t xml:space="preserve">        递延所得税负债</t>
  </si>
  <si>
    <t>115</t>
  </si>
  <si>
    <t xml:space="preserve">        生产性生物资产</t>
  </si>
  <si>
    <t>42</t>
  </si>
  <si>
    <t xml:space="preserve">        其他非流动负债</t>
  </si>
  <si>
    <t>116</t>
  </si>
  <si>
    <t xml:space="preserve">        油气资产</t>
  </si>
  <si>
    <t>43</t>
  </si>
  <si>
    <t xml:space="preserve">            其中：特准储备基金</t>
  </si>
  <si>
    <t>117</t>
  </si>
  <si>
    <t xml:space="preserve">      ☆使用权资产</t>
  </si>
  <si>
    <t>44</t>
  </si>
  <si>
    <t>非流动负债合计</t>
  </si>
  <si>
    <t>118</t>
  </si>
  <si>
    <t xml:space="preserve">        无形资产</t>
  </si>
  <si>
    <t>45</t>
  </si>
  <si>
    <t>负 债 合 计</t>
  </si>
  <si>
    <t>119</t>
  </si>
  <si>
    <t xml:space="preserve">        开发支出</t>
  </si>
  <si>
    <t>46</t>
  </si>
  <si>
    <t>所有者权益（或股东权益）：</t>
  </si>
  <si>
    <t>120</t>
  </si>
  <si>
    <t xml:space="preserve">        商誉</t>
  </si>
  <si>
    <t>47</t>
  </si>
  <si>
    <t xml:space="preserve">        实收资本（或股本）</t>
  </si>
  <si>
    <t>121</t>
  </si>
  <si>
    <t xml:space="preserve">        长期待摊费用</t>
  </si>
  <si>
    <t>48</t>
  </si>
  <si>
    <t xml:space="preserve">            国家资本</t>
  </si>
  <si>
    <t>122</t>
  </si>
  <si>
    <t xml:space="preserve">        递延所得税资产</t>
  </si>
  <si>
    <t>49</t>
  </si>
  <si>
    <t xml:space="preserve">            国有法人资本</t>
  </si>
  <si>
    <t>123</t>
  </si>
  <si>
    <t xml:space="preserve">        其他非流动资产</t>
  </si>
  <si>
    <t>50</t>
  </si>
  <si>
    <t xml:space="preserve">            集体资本</t>
  </si>
  <si>
    <t>124</t>
  </si>
  <si>
    <t xml:space="preserve">            其中：特准储备物资</t>
  </si>
  <si>
    <t>51</t>
  </si>
  <si>
    <t xml:space="preserve">            民营资本</t>
  </si>
  <si>
    <t>125</t>
  </si>
  <si>
    <t>非流动资产合计</t>
  </si>
  <si>
    <t>52</t>
  </si>
  <si>
    <t xml:space="preserve">            外商资本</t>
  </si>
  <si>
    <t>126</t>
  </si>
  <si>
    <t>53</t>
  </si>
  <si>
    <t xml:space="preserve">       #减：已归还投资</t>
  </si>
  <si>
    <t>127</t>
  </si>
  <si>
    <t>54</t>
  </si>
  <si>
    <t xml:space="preserve">        实收资本（或股本）净额</t>
  </si>
  <si>
    <t>128</t>
  </si>
  <si>
    <t>55</t>
  </si>
  <si>
    <t xml:space="preserve">        其他权益工具</t>
  </si>
  <si>
    <t>129</t>
  </si>
  <si>
    <t>56</t>
  </si>
  <si>
    <t>130</t>
  </si>
  <si>
    <t>57</t>
  </si>
  <si>
    <t>131</t>
  </si>
  <si>
    <t>58</t>
  </si>
  <si>
    <t xml:space="preserve">        资本公积</t>
  </si>
  <si>
    <t>132</t>
  </si>
  <si>
    <t>59</t>
  </si>
  <si>
    <t xml:space="preserve">        减：库存股</t>
  </si>
  <si>
    <t>133</t>
  </si>
  <si>
    <t>60</t>
  </si>
  <si>
    <t xml:space="preserve">        其他综合收益</t>
  </si>
  <si>
    <t>134</t>
  </si>
  <si>
    <t>61</t>
  </si>
  <si>
    <t xml:space="preserve">            其中：外币报表折算差额</t>
  </si>
  <si>
    <t>135</t>
  </si>
  <si>
    <t>62</t>
  </si>
  <si>
    <t xml:space="preserve">        专项储备</t>
  </si>
  <si>
    <t>136</t>
  </si>
  <si>
    <t>63</t>
  </si>
  <si>
    <t xml:space="preserve">        盈余公积</t>
  </si>
  <si>
    <t>137</t>
  </si>
  <si>
    <t>64</t>
  </si>
  <si>
    <t xml:space="preserve">            其中：法定公积金</t>
  </si>
  <si>
    <t>138</t>
  </si>
  <si>
    <t>65</t>
  </si>
  <si>
    <t xml:space="preserve">                  任意公积金</t>
  </si>
  <si>
    <t>139</t>
  </si>
  <si>
    <t>66</t>
  </si>
  <si>
    <t xml:space="preserve">                 #储备基金</t>
  </si>
  <si>
    <t>140</t>
  </si>
  <si>
    <t>67</t>
  </si>
  <si>
    <t xml:space="preserve">                 #企业发展基金</t>
  </si>
  <si>
    <t>141</t>
  </si>
  <si>
    <t>68</t>
  </si>
  <si>
    <t xml:space="preserve">                 #利润归还投资</t>
  </si>
  <si>
    <t>142</t>
  </si>
  <si>
    <t>69</t>
  </si>
  <si>
    <t xml:space="preserve">      △一般风险准备</t>
  </si>
  <si>
    <t>143</t>
  </si>
  <si>
    <t>70</t>
  </si>
  <si>
    <t xml:space="preserve">        未分配利润</t>
  </si>
  <si>
    <t>144</t>
  </si>
  <si>
    <t>71</t>
  </si>
  <si>
    <t>归属于母公司所有者权益（或股东权益）合计</t>
  </si>
  <si>
    <t>145</t>
  </si>
  <si>
    <t>72</t>
  </si>
  <si>
    <t xml:space="preserve">       *少数股东权益</t>
  </si>
  <si>
    <t>146</t>
  </si>
  <si>
    <t>73</t>
  </si>
  <si>
    <t>所有者权益（或股东权益）合计</t>
  </si>
  <si>
    <t>147</t>
  </si>
  <si>
    <t>资  产  总  计</t>
  </si>
  <si>
    <t>74</t>
  </si>
  <si>
    <t>负债和所有者权益（或股东权益）总计</t>
  </si>
  <si>
    <t>148</t>
  </si>
  <si>
    <t>注:表中带*项目为合并财务报表专用；加△楷体项目为金融类企业专用；带#项目为外商投资企业专用；加☆项目为执行新收入/新租赁/新金融工具准则企业适用。</t>
  </si>
  <si>
    <r>
      <rPr>
        <sz val="10"/>
        <rFont val="宋体"/>
        <charset val="134"/>
      </rPr>
      <t>法定代表人</t>
    </r>
    <r>
      <rPr>
        <sz val="10"/>
        <rFont val="Arial"/>
        <charset val="134"/>
      </rPr>
      <t xml:space="preserve">:  </t>
    </r>
  </si>
  <si>
    <r>
      <rPr>
        <sz val="10"/>
        <rFont val="宋体"/>
        <charset val="134"/>
      </rPr>
      <t>主管会计工作负责人</t>
    </r>
    <r>
      <rPr>
        <sz val="10"/>
        <rFont val="Arial"/>
        <charset val="134"/>
      </rPr>
      <t>:</t>
    </r>
  </si>
  <si>
    <r>
      <rPr>
        <sz val="10"/>
        <rFont val="宋体"/>
        <charset val="134"/>
      </rPr>
      <t>会计机构负责人</t>
    </r>
    <r>
      <rPr>
        <sz val="10"/>
        <rFont val="Arial"/>
        <charset val="134"/>
      </rPr>
      <t>:</t>
    </r>
  </si>
  <si>
    <t>核</t>
  </si>
  <si>
    <t xml:space="preserve"> 利 润 表</t>
  </si>
  <si>
    <t>2020年度</t>
  </si>
  <si>
    <t>本期金额</t>
  </si>
  <si>
    <t>上期金额</t>
  </si>
  <si>
    <t>一、营业总收入</t>
  </si>
  <si>
    <t xml:space="preserve">           非货币性资产交换利得</t>
  </si>
  <si>
    <t xml:space="preserve">    其中：营业收入</t>
  </si>
  <si>
    <t xml:space="preserve">           政府补助</t>
  </si>
  <si>
    <t xml:space="preserve">       △利息收入</t>
  </si>
  <si>
    <t xml:space="preserve">           债务重组利得</t>
  </si>
  <si>
    <t xml:space="preserve">       △已赚保费</t>
  </si>
  <si>
    <t xml:space="preserve">    减：营业外支出</t>
  </si>
  <si>
    <t xml:space="preserve">       △手续费及佣金收入</t>
  </si>
  <si>
    <t xml:space="preserve">        其中：非流动资产处置损失</t>
  </si>
  <si>
    <t>二、营业总成本</t>
  </si>
  <si>
    <t xml:space="preserve">              非货币性资产交换损失</t>
  </si>
  <si>
    <t xml:space="preserve">    其中：营业成本</t>
  </si>
  <si>
    <t xml:space="preserve">              债务重组损失</t>
  </si>
  <si>
    <t xml:space="preserve">       △利息支出</t>
  </si>
  <si>
    <t>四、利润总额（亏损总额以“－”号填列）</t>
  </si>
  <si>
    <t xml:space="preserve">       △手续费及佣金支出</t>
  </si>
  <si>
    <t xml:space="preserve">    减：所得税费用</t>
  </si>
  <si>
    <t xml:space="preserve">       △退保金</t>
  </si>
  <si>
    <t>五、净利润（净亏损以“－”号填列）</t>
  </si>
  <si>
    <t xml:space="preserve">       △赔付支出净额</t>
  </si>
  <si>
    <t xml:space="preserve">    归属于母公司所有者的净利润</t>
  </si>
  <si>
    <t xml:space="preserve">       △提取保险合同准备金净额</t>
  </si>
  <si>
    <t xml:space="preserve">   *少数股东损益</t>
  </si>
  <si>
    <t xml:space="preserve">       △保单红利支出</t>
  </si>
  <si>
    <t xml:space="preserve">   持续经营损益</t>
  </si>
  <si>
    <t xml:space="preserve">       △分保费用</t>
  </si>
  <si>
    <t xml:space="preserve">   终止经营损益</t>
  </si>
  <si>
    <t xml:space="preserve">         税金及附加</t>
  </si>
  <si>
    <t>六、其他综合收益的税后净额</t>
  </si>
  <si>
    <t xml:space="preserve">         销售费用</t>
  </si>
  <si>
    <t xml:space="preserve">  归属于母公司所有者权益的其他综合收益的税后净额</t>
  </si>
  <si>
    <t xml:space="preserve">         管理费用</t>
  </si>
  <si>
    <t>（一）以后不能重分类进损益的其他综合收益</t>
  </si>
  <si>
    <t xml:space="preserve">         其中：研究与开发费</t>
  </si>
  <si>
    <t xml:space="preserve">    1.重新计量设定受益计划净负债或净资产的变动</t>
  </si>
  <si>
    <t xml:space="preserve">              党建工作经费</t>
  </si>
  <si>
    <t xml:space="preserve">    2.权益法下在被投资单位不能重分类进损益的其他综合收益中享有的份额</t>
  </si>
  <si>
    <t xml:space="preserve">         财务费用</t>
  </si>
  <si>
    <t>（二）以后将重分类进损益的其他综合收益</t>
  </si>
  <si>
    <t xml:space="preserve">           其中：利息支出</t>
  </si>
  <si>
    <t xml:space="preserve">    1.权益法下在被投资单位将重分类进损益的其他综合收益中享有的份额</t>
  </si>
  <si>
    <t xml:space="preserve">                利息收入</t>
  </si>
  <si>
    <t xml:space="preserve">    2.可供出售金融资产公允价值变动损益</t>
  </si>
  <si>
    <t>汇兑净损失（净收益以“-”号填列）</t>
  </si>
  <si>
    <t xml:space="preserve">    3.持有至到期投资重分类为可供出售金融资产损益</t>
  </si>
  <si>
    <t xml:space="preserve">         资产减值损失</t>
  </si>
  <si>
    <t xml:space="preserve">    4.现金流量套期损益的有效部分</t>
  </si>
  <si>
    <t xml:space="preserve">         其他</t>
  </si>
  <si>
    <t xml:space="preserve">    5.外币财务报表折算差额</t>
  </si>
  <si>
    <t xml:space="preserve">    加：公允价值变动收益（损失以“-”号填列）</t>
  </si>
  <si>
    <t xml:space="preserve">    * 归属于少数股东的其他综合收益的税后净额</t>
  </si>
  <si>
    <t xml:space="preserve"> 投资收益（损失以“-”号填列）</t>
  </si>
  <si>
    <t>七、综合收益总额</t>
  </si>
  <si>
    <t>其中：对联营企业和合营企业的投资收益</t>
  </si>
  <si>
    <t xml:space="preserve">    归属于母公司所有者的综合收益总额</t>
  </si>
  <si>
    <t>△汇兑收益（损失以“-”号填列）</t>
  </si>
  <si>
    <t xml:space="preserve">   *归属于少数股东的综合收益总额</t>
  </si>
  <si>
    <t xml:space="preserve">       其他收益</t>
  </si>
  <si>
    <t>八、每股收益：</t>
  </si>
  <si>
    <t>三、营业利润（亏损以“－”号填列）</t>
  </si>
  <si>
    <t xml:space="preserve">    基本每股收益</t>
  </si>
  <si>
    <t xml:space="preserve">   加：营业外收入</t>
  </si>
  <si>
    <t xml:space="preserve">    稀释每股收益</t>
  </si>
  <si>
    <t xml:space="preserve">    其中：非流动资产处置利得</t>
  </si>
  <si>
    <t xml:space="preserve">注:表中带*科目为合并会计报表专用；加△楷体项目为金融类企业专用。
 </t>
  </si>
  <si>
    <t xml:space="preserve">法定代表人: </t>
  </si>
  <si>
    <r>
      <rPr>
        <sz val="11"/>
        <color rgb="FF000000"/>
        <rFont val="宋体"/>
        <charset val="134"/>
      </rPr>
      <t>主管会计工作负责人</t>
    </r>
    <r>
      <rPr>
        <sz val="11"/>
        <color rgb="FF000000"/>
        <rFont val="Times New Roman"/>
        <charset val="134"/>
      </rPr>
      <t>:</t>
    </r>
  </si>
  <si>
    <t>会计机构负责人:</t>
  </si>
  <si>
    <t>现金流量表</t>
  </si>
  <si>
    <r>
      <rPr>
        <sz val="11"/>
        <rFont val="宋体"/>
        <charset val="134"/>
      </rPr>
      <t>项</t>
    </r>
    <r>
      <rPr>
        <sz val="11"/>
        <rFont val="Arial"/>
        <charset val="134"/>
      </rPr>
      <t xml:space="preserve">              </t>
    </r>
    <r>
      <rPr>
        <sz val="11"/>
        <rFont val="宋体"/>
        <charset val="134"/>
      </rPr>
      <t>目</t>
    </r>
  </si>
  <si>
    <t>本年金额</t>
  </si>
  <si>
    <t>上年金额</t>
  </si>
  <si>
    <r>
      <rPr>
        <sz val="11"/>
        <rFont val="宋体"/>
        <charset val="134"/>
      </rPr>
      <t>项</t>
    </r>
    <r>
      <rPr>
        <sz val="11"/>
        <rFont val="Arial"/>
        <charset val="134"/>
      </rPr>
      <t xml:space="preserve">            </t>
    </r>
    <r>
      <rPr>
        <sz val="11"/>
        <rFont val="宋体"/>
        <charset val="134"/>
      </rPr>
      <t>目</t>
    </r>
  </si>
  <si>
    <t>一、经营活动产生的现金流量：</t>
  </si>
  <si>
    <t>—</t>
  </si>
  <si>
    <t xml:space="preserve">    处置固定资产、无形资产和其他长期资产所收回的现金净额</t>
  </si>
  <si>
    <t xml:space="preserve">    销售商品、提供劳务收到的现金</t>
  </si>
  <si>
    <t xml:space="preserve">    处置子公司及其他营业单位收回的现金净额</t>
  </si>
  <si>
    <t xml:space="preserve">    客户存款和同业存放款项净增加额</t>
  </si>
  <si>
    <t xml:space="preserve">    收到其他与投资活动有关的现金</t>
  </si>
  <si>
    <t xml:space="preserve">    向中央银行借款净增加额</t>
  </si>
  <si>
    <t>投资活动现金流入小计</t>
  </si>
  <si>
    <t xml:space="preserve">    向其他金融机构拆入资金净增加额</t>
  </si>
  <si>
    <t xml:space="preserve">    购建固定资产、无形资产和其他长期资产所支付的现金</t>
  </si>
  <si>
    <t xml:space="preserve">    收到原保险合同保费取得的现金</t>
  </si>
  <si>
    <t xml:space="preserve">    投资支付的现金</t>
  </si>
  <si>
    <t xml:space="preserve">    收到再保险业务现金净额</t>
  </si>
  <si>
    <t xml:space="preserve">    质押贷款净增加额</t>
  </si>
  <si>
    <t xml:space="preserve">    保户储金及投资款净增加额</t>
  </si>
  <si>
    <t xml:space="preserve">    取得子公司及其他营业单位支付的现金净额</t>
  </si>
  <si>
    <t xml:space="preserve">    处置交易性金融资产净增加额</t>
  </si>
  <si>
    <t xml:space="preserve">    支付其他与投资活动有关的现金</t>
  </si>
  <si>
    <t xml:space="preserve">    收取利息、手续费及佣金的现金</t>
  </si>
  <si>
    <t>投资活动现金流出小计</t>
  </si>
  <si>
    <t xml:space="preserve">    拆入资金净增加额</t>
  </si>
  <si>
    <t>投资活动产生的现金流量净额</t>
  </si>
  <si>
    <t xml:space="preserve">    回购业务资金净增加额</t>
  </si>
  <si>
    <t>三、筹资活动产生的现金流量：</t>
  </si>
  <si>
    <t xml:space="preserve">    收到的税费返还</t>
  </si>
  <si>
    <t xml:space="preserve">    吸收投资收到的现金</t>
  </si>
  <si>
    <t xml:space="preserve">    收到其他与经营活动有关的现金</t>
  </si>
  <si>
    <t xml:space="preserve">        其中：子公司吸收少数股东投资收到的现金</t>
  </si>
  <si>
    <t>经营活动现金流入小计</t>
  </si>
  <si>
    <t xml:space="preserve">    取得借款所收到的现金</t>
  </si>
  <si>
    <t xml:space="preserve">    购买商品、接收劳务支付的现金</t>
  </si>
  <si>
    <t xml:space="preserve">    发行债券收到的现金</t>
  </si>
  <si>
    <t xml:space="preserve">    客户贷款及垫款净增加额</t>
  </si>
  <si>
    <t xml:space="preserve">    收到其他与筹资活动有关的现金</t>
  </si>
  <si>
    <t xml:space="preserve">    存放中央银行和同业款项净增加额</t>
  </si>
  <si>
    <t>筹资活动现金流入小计</t>
  </si>
  <si>
    <t xml:space="preserve">    支付原保险合同赔付款项的现金</t>
  </si>
  <si>
    <t xml:space="preserve">    偿还债务所支付的现金</t>
  </si>
  <si>
    <t xml:space="preserve">    支付利息、手续费及佣金的现金</t>
  </si>
  <si>
    <t xml:space="preserve">    分配股利、利润或偿付利息所支付的现金</t>
  </si>
  <si>
    <t xml:space="preserve">    支付保单红利的现金</t>
  </si>
  <si>
    <t xml:space="preserve">        其中：子公司支付给少数股东的股利、利润</t>
  </si>
  <si>
    <t xml:space="preserve">    支付给职工以及为职工支付的现金</t>
  </si>
  <si>
    <t xml:space="preserve">    支付其他与筹资活动有关的现金</t>
  </si>
  <si>
    <t xml:space="preserve">    支付的各项税费</t>
  </si>
  <si>
    <t>筹资活动现金流出小计</t>
  </si>
  <si>
    <t xml:space="preserve">    支付其他与经营活动有关的现金</t>
  </si>
  <si>
    <t>筹资活动产生的现金流量净额</t>
  </si>
  <si>
    <t>经营活动现金流出小计</t>
  </si>
  <si>
    <t>四、汇率变动对现金及现金等价物的影响</t>
  </si>
  <si>
    <t>经营活动产生的现金流量净额</t>
  </si>
  <si>
    <t>五、现金及现金等价物净增加额</t>
  </si>
  <si>
    <t>二、投资活动产生的现金流量：</t>
  </si>
  <si>
    <t xml:space="preserve">    加：期初现金及现金等价物余额</t>
  </si>
  <si>
    <t xml:space="preserve">    收回投资收到的现金</t>
  </si>
  <si>
    <t>六、期末现金及现金等价物余额</t>
  </si>
  <si>
    <t xml:space="preserve">    取得投资收益收到的现金</t>
  </si>
  <si>
    <r>
      <rPr>
        <sz val="11"/>
        <rFont val="宋体"/>
        <charset val="134"/>
      </rPr>
      <t>法定代表人</t>
    </r>
    <r>
      <rPr>
        <sz val="11"/>
        <rFont val="Arial"/>
        <charset val="134"/>
      </rPr>
      <t xml:space="preserve">: </t>
    </r>
  </si>
  <si>
    <r>
      <rPr>
        <sz val="11"/>
        <rFont val="宋体"/>
        <charset val="134"/>
      </rPr>
      <t>主管会计工作负责人</t>
    </r>
    <r>
      <rPr>
        <sz val="11"/>
        <rFont val="Times New Roman"/>
        <charset val="134"/>
      </rPr>
      <t>:</t>
    </r>
  </si>
  <si>
    <r>
      <rPr>
        <sz val="11"/>
        <rFont val="宋体"/>
        <charset val="134"/>
      </rPr>
      <t>会计机构负责人</t>
    </r>
    <r>
      <rPr>
        <sz val="11"/>
        <rFont val="Arial"/>
        <charset val="134"/>
      </rPr>
      <t>:</t>
    </r>
  </si>
  <si>
    <t>补充资料</t>
  </si>
  <si>
    <t>1、将净利润调节为经营活动现金流量：</t>
  </si>
  <si>
    <t xml:space="preserve">  净利润</t>
  </si>
  <si>
    <t>加：资产减值准备</t>
  </si>
  <si>
    <t xml:space="preserve">    固定资产折旧、油气资产折耗、生产性生物资产折旧</t>
  </si>
  <si>
    <t xml:space="preserve">    无形资产摊销</t>
  </si>
  <si>
    <t xml:space="preserve">    长期待摊费用摊销</t>
  </si>
  <si>
    <t xml:space="preserve">    处置固定资产、无形资产和其他长期资产的损失
      (收益以“-”号填列)</t>
  </si>
  <si>
    <t xml:space="preserve">    固定资产报废损失（收益以“-”号填列）</t>
  </si>
  <si>
    <t xml:space="preserve">    公允价值变动损失（收益以“-”号填列）</t>
  </si>
  <si>
    <t xml:space="preserve">    财务费用（收益以“-”号填列）</t>
  </si>
  <si>
    <t xml:space="preserve">    投资损失（收益以“-”号填列）</t>
  </si>
  <si>
    <t xml:space="preserve">    递延所得税资产减少（增加以“-”号填列）</t>
  </si>
  <si>
    <t xml:space="preserve">    递延所得税负债增加（减少以“-”号填列）</t>
  </si>
  <si>
    <t xml:space="preserve">    存货的减少（增加以“-”号填列）</t>
  </si>
  <si>
    <t xml:space="preserve">    经营性应收项目的减少（增加以“-”号填列）</t>
  </si>
  <si>
    <t xml:space="preserve">    经营性应付项目的增加（减少以“-”号填列）</t>
  </si>
  <si>
    <t xml:space="preserve">    其 他</t>
  </si>
  <si>
    <t xml:space="preserve">     经营活动产生的现金流量净额</t>
  </si>
  <si>
    <t>2、不涉及现金收支的投资和筹资活动：</t>
  </si>
  <si>
    <t xml:space="preserve">        债务转为资本</t>
  </si>
  <si>
    <t xml:space="preserve">         一年内到期的可转换公司债券</t>
  </si>
  <si>
    <t xml:space="preserve">        融资租入固定 资产</t>
  </si>
  <si>
    <t>3、现金及现金等价物净增加情况</t>
  </si>
  <si>
    <t xml:space="preserve">      现金的期末余额</t>
  </si>
  <si>
    <t xml:space="preserve"> 减：现金的期初余额</t>
  </si>
  <si>
    <t xml:space="preserve"> 加：现金等价物的期未余额</t>
  </si>
  <si>
    <t xml:space="preserve"> 减：现金等价物的期初余额</t>
  </si>
  <si>
    <r>
      <rPr>
        <b/>
        <sz val="11"/>
        <color indexed="8"/>
        <rFont val="Times New Roman"/>
        <charset val="134"/>
      </rPr>
      <t xml:space="preserve">         </t>
    </r>
    <r>
      <rPr>
        <b/>
        <sz val="11"/>
        <color indexed="8"/>
        <rFont val="宋体"/>
        <charset val="134"/>
      </rPr>
      <t>现金及现金等价物净增加额</t>
    </r>
  </si>
  <si>
    <t>法定代表人:                           主管会计工作负责人:</t>
  </si>
  <si>
    <t>所有者权益变动表</t>
  </si>
  <si>
    <r>
      <rPr>
        <sz val="11"/>
        <color indexed="8"/>
        <rFont val="宋体"/>
        <charset val="134"/>
      </rPr>
      <t>项</t>
    </r>
    <r>
      <rPr>
        <sz val="11"/>
        <color indexed="8"/>
        <rFont val="Times New Roman"/>
        <charset val="134"/>
      </rPr>
      <t xml:space="preserve">            </t>
    </r>
    <r>
      <rPr>
        <sz val="11"/>
        <color indexed="8"/>
        <rFont val="宋体"/>
        <charset val="134"/>
      </rPr>
      <t>目</t>
    </r>
  </si>
  <si>
    <t>实收资本</t>
  </si>
  <si>
    <t>资本公积</t>
  </si>
  <si>
    <r>
      <rPr>
        <sz val="11"/>
        <color indexed="8"/>
        <rFont val="宋体"/>
        <charset val="134"/>
      </rPr>
      <t>减</t>
    </r>
    <r>
      <rPr>
        <sz val="11"/>
        <color indexed="8"/>
        <rFont val="Times New Roman"/>
        <charset val="134"/>
      </rPr>
      <t>:</t>
    </r>
    <r>
      <rPr>
        <sz val="11"/>
        <color indexed="8"/>
        <rFont val="宋体"/>
        <charset val="134"/>
      </rPr>
      <t>库存股</t>
    </r>
  </si>
  <si>
    <t>盈余公积</t>
  </si>
  <si>
    <t>未分配利润</t>
  </si>
  <si>
    <t>所有者权益合计</t>
  </si>
  <si>
    <t>一、上年年末余额</t>
  </si>
  <si>
    <t>加：会计政策变更</t>
  </si>
  <si>
    <t xml:space="preserve">    前期差错更正</t>
  </si>
  <si>
    <t>二、本年年初余额</t>
  </si>
  <si>
    <r>
      <rPr>
        <b/>
        <sz val="11"/>
        <color indexed="8"/>
        <rFont val="宋体"/>
        <charset val="134"/>
      </rPr>
      <t>三、本期增减变动金额（减少以</t>
    </r>
    <r>
      <rPr>
        <b/>
        <sz val="11"/>
        <color indexed="8"/>
        <rFont val="Times New Roman"/>
        <charset val="134"/>
      </rPr>
      <t>“-”</t>
    </r>
    <r>
      <rPr>
        <b/>
        <sz val="11"/>
        <color indexed="8"/>
        <rFont val="宋体"/>
        <charset val="134"/>
      </rPr>
      <t>号填列）</t>
    </r>
  </si>
  <si>
    <t>（一）净利润</t>
  </si>
  <si>
    <t>（二）其他综合收益</t>
  </si>
  <si>
    <r>
      <rPr>
        <b/>
        <sz val="11"/>
        <color indexed="8"/>
        <rFont val="宋体"/>
        <charset val="134"/>
      </rPr>
      <t>上述</t>
    </r>
    <r>
      <rPr>
        <b/>
        <sz val="11"/>
        <color indexed="8"/>
        <rFont val="Times New Roman"/>
        <charset val="134"/>
      </rPr>
      <t>(</t>
    </r>
    <r>
      <rPr>
        <b/>
        <sz val="11"/>
        <color indexed="8"/>
        <rFont val="宋体"/>
        <charset val="134"/>
      </rPr>
      <t>一</t>
    </r>
    <r>
      <rPr>
        <b/>
        <sz val="11"/>
        <color indexed="8"/>
        <rFont val="Times New Roman"/>
        <charset val="134"/>
      </rPr>
      <t>)</t>
    </r>
    <r>
      <rPr>
        <b/>
        <sz val="11"/>
        <color indexed="8"/>
        <rFont val="宋体"/>
        <charset val="134"/>
      </rPr>
      <t>和</t>
    </r>
    <r>
      <rPr>
        <b/>
        <sz val="11"/>
        <color indexed="8"/>
        <rFont val="Times New Roman"/>
        <charset val="134"/>
      </rPr>
      <t>(</t>
    </r>
    <r>
      <rPr>
        <b/>
        <sz val="11"/>
        <color indexed="8"/>
        <rFont val="宋体"/>
        <charset val="134"/>
      </rPr>
      <t>二</t>
    </r>
    <r>
      <rPr>
        <b/>
        <sz val="11"/>
        <color indexed="8"/>
        <rFont val="Times New Roman"/>
        <charset val="134"/>
      </rPr>
      <t>)</t>
    </r>
    <r>
      <rPr>
        <b/>
        <sz val="11"/>
        <color indexed="8"/>
        <rFont val="宋体"/>
        <charset val="134"/>
      </rPr>
      <t>小计</t>
    </r>
  </si>
  <si>
    <t>（三）所有者投入和减少资本</t>
  </si>
  <si>
    <r>
      <rPr>
        <sz val="11"/>
        <color indexed="8"/>
        <rFont val="Times New Roman"/>
        <charset val="134"/>
      </rPr>
      <t xml:space="preserve">1. </t>
    </r>
    <r>
      <rPr>
        <sz val="11"/>
        <color indexed="8"/>
        <rFont val="宋体"/>
        <charset val="134"/>
      </rPr>
      <t>所有者投入资本</t>
    </r>
  </si>
  <si>
    <r>
      <rPr>
        <sz val="11"/>
        <color indexed="8"/>
        <rFont val="Times New Roman"/>
        <charset val="134"/>
      </rPr>
      <t>2</t>
    </r>
    <r>
      <rPr>
        <sz val="11"/>
        <color indexed="8"/>
        <rFont val="宋体"/>
        <charset val="134"/>
      </rPr>
      <t>．股份支付计入所有者权益的金额</t>
    </r>
  </si>
  <si>
    <r>
      <rPr>
        <sz val="11"/>
        <color indexed="8"/>
        <rFont val="Times New Roman"/>
        <charset val="134"/>
      </rPr>
      <t>3</t>
    </r>
    <r>
      <rPr>
        <sz val="11"/>
        <color indexed="8"/>
        <rFont val="宋体"/>
        <charset val="134"/>
      </rPr>
      <t>．其他</t>
    </r>
  </si>
  <si>
    <t>（四）利润分配</t>
  </si>
  <si>
    <r>
      <rPr>
        <sz val="11"/>
        <color indexed="8"/>
        <rFont val="Times New Roman"/>
        <charset val="134"/>
      </rPr>
      <t>1</t>
    </r>
    <r>
      <rPr>
        <sz val="11"/>
        <color indexed="8"/>
        <rFont val="宋体"/>
        <charset val="134"/>
      </rPr>
      <t>．提取盈余公积</t>
    </r>
  </si>
  <si>
    <r>
      <rPr>
        <sz val="11"/>
        <color indexed="8"/>
        <rFont val="Times New Roman"/>
        <charset val="134"/>
      </rPr>
      <t>2</t>
    </r>
    <r>
      <rPr>
        <sz val="11"/>
        <color indexed="8"/>
        <rFont val="宋体"/>
        <charset val="134"/>
      </rPr>
      <t>．对所有者（或股东）的分配</t>
    </r>
  </si>
  <si>
    <t>其中：国有企业应上交的利润</t>
  </si>
  <si>
    <t>（五）所有者权益内部结转</t>
  </si>
  <si>
    <r>
      <rPr>
        <sz val="11"/>
        <color indexed="8"/>
        <rFont val="Times New Roman"/>
        <charset val="134"/>
      </rPr>
      <t>1</t>
    </r>
    <r>
      <rPr>
        <sz val="11"/>
        <color indexed="8"/>
        <rFont val="宋体"/>
        <charset val="134"/>
      </rPr>
      <t>．资本公积转增资本（或股本）</t>
    </r>
  </si>
  <si>
    <r>
      <rPr>
        <sz val="11"/>
        <color indexed="8"/>
        <rFont val="Times New Roman"/>
        <charset val="134"/>
      </rPr>
      <t>2</t>
    </r>
    <r>
      <rPr>
        <sz val="11"/>
        <color indexed="8"/>
        <rFont val="宋体"/>
        <charset val="134"/>
      </rPr>
      <t>．盈余公积转增资本（或股本）</t>
    </r>
  </si>
  <si>
    <r>
      <rPr>
        <sz val="11"/>
        <color indexed="8"/>
        <rFont val="Times New Roman"/>
        <charset val="134"/>
      </rPr>
      <t>3</t>
    </r>
    <r>
      <rPr>
        <sz val="11"/>
        <color indexed="8"/>
        <rFont val="宋体"/>
        <charset val="134"/>
      </rPr>
      <t>．盈余公积弥补亏损</t>
    </r>
  </si>
  <si>
    <r>
      <rPr>
        <sz val="11"/>
        <color indexed="8"/>
        <rFont val="Times New Roman"/>
        <charset val="134"/>
      </rPr>
      <t>4</t>
    </r>
    <r>
      <rPr>
        <sz val="11"/>
        <color indexed="8"/>
        <rFont val="宋体"/>
        <charset val="134"/>
      </rPr>
      <t>．其他</t>
    </r>
  </si>
  <si>
    <t>（六）专项储备</t>
  </si>
  <si>
    <r>
      <rPr>
        <sz val="11"/>
        <color indexed="8"/>
        <rFont val="Times New Roman"/>
        <charset val="134"/>
      </rPr>
      <t>1</t>
    </r>
    <r>
      <rPr>
        <sz val="11"/>
        <color indexed="8"/>
        <rFont val="宋体"/>
        <charset val="134"/>
      </rPr>
      <t>．本期储备</t>
    </r>
  </si>
  <si>
    <r>
      <rPr>
        <sz val="11"/>
        <color indexed="8"/>
        <rFont val="Times New Roman"/>
        <charset val="134"/>
      </rPr>
      <t>2</t>
    </r>
    <r>
      <rPr>
        <sz val="11"/>
        <color indexed="8"/>
        <rFont val="宋体"/>
        <charset val="134"/>
      </rPr>
      <t>．本期使用</t>
    </r>
  </si>
  <si>
    <t>（七）其他</t>
  </si>
  <si>
    <t>四、本期年末余额</t>
  </si>
  <si>
    <r>
      <rPr>
        <sz val="11"/>
        <rFont val="宋体"/>
        <charset val="134"/>
      </rPr>
      <t>法定代表人</t>
    </r>
    <r>
      <rPr>
        <sz val="11"/>
        <rFont val="Times New Roman"/>
        <charset val="134"/>
      </rPr>
      <t xml:space="preserve">:                 </t>
    </r>
  </si>
  <si>
    <r>
      <rPr>
        <sz val="11"/>
        <rFont val="宋体"/>
        <charset val="134"/>
      </rPr>
      <t>会计机构负责人</t>
    </r>
    <r>
      <rPr>
        <sz val="11"/>
        <rFont val="Times New Roman"/>
        <charset val="134"/>
      </rPr>
      <t>:</t>
    </r>
  </si>
  <si>
    <t>合并数</t>
  </si>
  <si>
    <t>三江发控2020年</t>
  </si>
  <si>
    <t>三江物业2020年</t>
  </si>
  <si>
    <t>三江农业2020年</t>
  </si>
  <si>
    <t>抵消借方</t>
  </si>
  <si>
    <t>抵消贷方</t>
  </si>
  <si>
    <t xml:space="preserve">            其中：应付工资</t>
  </si>
  <si>
    <t xml:space="preserve">                  应付福利费</t>
  </si>
  <si>
    <t xml:space="preserve">                     #其中：职工奖励及福利基金</t>
  </si>
  <si>
    <t>核对</t>
  </si>
  <si>
    <t>三江发控2019年</t>
  </si>
  <si>
    <t>三江物业2019年</t>
  </si>
  <si>
    <t>三江农业2019年</t>
  </si>
  <si>
    <t xml:space="preserve">                汇兑净损失（净收益以“-”号填列）</t>
  </si>
  <si>
    <t xml:space="preserve">        投资收益（损失以“-”号填列）</t>
  </si>
  <si>
    <t xml:space="preserve">        其中：对联营企业和合营企业的投资收益</t>
  </si>
  <si>
    <t xml:space="preserve">      △汇兑收益（损失以“-”号填列）</t>
  </si>
  <si>
    <t xml:space="preserve">  三、营业利润（亏损以“－”号填列）</t>
  </si>
  <si>
    <t>注:表中带*科目为合并会计报表专用；加△楷体项目为金融类企业专用。</t>
  </si>
  <si>
    <r>
      <rPr>
        <sz val="11"/>
        <rFont val="宋体"/>
        <charset val="134"/>
      </rPr>
      <t>三江物业</t>
    </r>
    <r>
      <rPr>
        <sz val="11"/>
        <rFont val="Times New Roman"/>
        <charset val="134"/>
      </rPr>
      <t>2020</t>
    </r>
    <r>
      <rPr>
        <sz val="11"/>
        <rFont val="宋体"/>
        <charset val="134"/>
      </rPr>
      <t>年</t>
    </r>
  </si>
  <si>
    <r>
      <rPr>
        <sz val="11"/>
        <rFont val="宋体"/>
        <charset val="134"/>
      </rPr>
      <t>三江农业</t>
    </r>
    <r>
      <rPr>
        <sz val="11"/>
        <rFont val="Times New Roman"/>
        <charset val="134"/>
      </rPr>
      <t>2020</t>
    </r>
    <r>
      <rPr>
        <sz val="11"/>
        <rFont val="宋体"/>
        <charset val="134"/>
      </rPr>
      <t>年</t>
    </r>
  </si>
  <si>
    <t xml:space="preserve">         现金及现金等价物净增加额</t>
  </si>
  <si>
    <r>
      <rPr>
        <sz val="11"/>
        <rFont val="Times New Roman"/>
        <charset val="134"/>
      </rPr>
      <t>2020</t>
    </r>
    <r>
      <rPr>
        <sz val="11"/>
        <rFont val="宋体"/>
        <charset val="134"/>
      </rPr>
      <t>年度</t>
    </r>
  </si>
  <si>
    <t>编制单位：海口市三江农场发展控股有限公司</t>
  </si>
  <si>
    <t>金额单位：人民币元</t>
  </si>
  <si>
    <r>
      <rPr>
        <sz val="11"/>
        <rFont val="宋体"/>
        <charset val="134"/>
      </rPr>
      <t>公司负责人</t>
    </r>
    <r>
      <rPr>
        <sz val="11"/>
        <rFont val="Times New Roman"/>
        <charset val="134"/>
      </rPr>
      <t xml:space="preserve">:                 </t>
    </r>
  </si>
  <si>
    <t>编制单位:海口三江农场物业服务有限公司</t>
  </si>
  <si>
    <t>编制单位：海口福满三江农业服务有限公司</t>
  </si>
  <si>
    <t>2020年</t>
  </si>
  <si>
    <t>项目名称</t>
  </si>
  <si>
    <t>1年以内</t>
  </si>
  <si>
    <t>1年至2年</t>
  </si>
  <si>
    <t>2年至3年</t>
  </si>
  <si>
    <t>3年至4年</t>
  </si>
  <si>
    <t>4年至5年</t>
  </si>
  <si>
    <t>5年以上</t>
  </si>
  <si>
    <t>坏账准备</t>
  </si>
  <si>
    <t>净额</t>
  </si>
  <si>
    <t>三江农场物业服务有限公司</t>
  </si>
  <si>
    <t>海口市美兰区三江镇人民政府</t>
  </si>
  <si>
    <t>海口市美兰区三江镇三江居居民委员会</t>
  </si>
  <si>
    <t>中天建联建设工程有限公司</t>
  </si>
  <si>
    <t>借：信用减值损失</t>
  </si>
  <si>
    <t>合计</t>
  </si>
  <si>
    <t>贷：信用减值准备</t>
  </si>
  <si>
    <t>2019年</t>
  </si>
  <si>
    <t>海口市三江农场</t>
  </si>
  <si>
    <t>借：信用减值准备</t>
  </si>
  <si>
    <t>贷：信用减值损失</t>
  </si>
  <si>
    <t>2018年</t>
  </si>
  <si>
    <t>海口市三江明德小学</t>
  </si>
  <si>
    <t>海口椰岛之家老年公寓</t>
  </si>
  <si>
    <t>海口市三江第二小学</t>
  </si>
  <si>
    <t>结转2018年第四季度收入</t>
  </si>
  <si>
    <t>借：年初未分配利润</t>
  </si>
  <si>
    <t>海口市三江农场发展控股有限公司</t>
  </si>
  <si>
    <t>摘要</t>
  </si>
  <si>
    <t>借方</t>
  </si>
  <si>
    <t>贷方</t>
  </si>
  <si>
    <t>调整</t>
  </si>
  <si>
    <t>递延收益</t>
  </si>
  <si>
    <t>科目名称</t>
  </si>
  <si>
    <t>投资收益</t>
  </si>
  <si>
    <t>重分类调整</t>
  </si>
  <si>
    <t>其他应付款</t>
  </si>
  <si>
    <t>其他应收款</t>
  </si>
  <si>
    <t>预付账款</t>
  </si>
  <si>
    <t>应付账款</t>
  </si>
  <si>
    <t>主营业务收入</t>
  </si>
  <si>
    <t>应收账款</t>
  </si>
  <si>
    <t>三江发控公司2019年度调整事项及分录</t>
  </si>
  <si>
    <t>序号</t>
  </si>
  <si>
    <t>科目</t>
  </si>
  <si>
    <t>调整未完工项目代建收入</t>
  </si>
  <si>
    <t>营业外收入</t>
  </si>
  <si>
    <t>计提营业收入流转税</t>
  </si>
  <si>
    <t>应交税金-增值税-销项税</t>
  </si>
  <si>
    <t>应交税金-城建税</t>
  </si>
  <si>
    <t>应交税金-教育费附加</t>
  </si>
  <si>
    <t>应交税金-地方教育费附加</t>
  </si>
  <si>
    <t>预存话费</t>
  </si>
  <si>
    <t>社保 (个人部分）</t>
  </si>
  <si>
    <t>审定数</t>
  </si>
  <si>
    <t>抵消</t>
  </si>
  <si>
    <t>以前年度损益调整</t>
  </si>
  <si>
    <t>期末未审定数</t>
  </si>
  <si>
    <t>抵消金额</t>
  </si>
  <si>
    <t>期末审定数</t>
  </si>
  <si>
    <t>预收账款</t>
  </si>
  <si>
    <t>补计提2018年度所得税</t>
  </si>
  <si>
    <t>2019年度报表续调上年提取的企业所得税</t>
  </si>
  <si>
    <t>计算所得额</t>
  </si>
  <si>
    <t>优惠税率</t>
  </si>
  <si>
    <t>所得税额</t>
  </si>
  <si>
    <t>2018年利润总额</t>
  </si>
  <si>
    <t>加计提坏账金额</t>
  </si>
  <si>
    <t>应交税金-企业所得税</t>
  </si>
  <si>
    <t>所得额</t>
  </si>
  <si>
    <r>
      <rPr>
        <sz val="11"/>
        <color theme="1"/>
        <rFont val="宋体"/>
        <charset val="134"/>
        <scheme val="minor"/>
      </rPr>
      <t>100万以内的利润减按</t>
    </r>
    <r>
      <rPr>
        <sz val="11"/>
        <color theme="1"/>
        <rFont val="宋体"/>
        <charset val="134"/>
        <scheme val="minor"/>
      </rPr>
      <t>2</t>
    </r>
    <r>
      <rPr>
        <sz val="11"/>
        <color theme="1"/>
        <rFont val="宋体"/>
        <charset val="134"/>
        <scheme val="minor"/>
      </rPr>
      <t>5%计算所得额</t>
    </r>
  </si>
  <si>
    <t>海口福满三江农业有限公司</t>
  </si>
  <si>
    <t>100-300万利润的所得额按50%计算</t>
  </si>
  <si>
    <t>调整冲回2019年多提的企业所得税</t>
  </si>
  <si>
    <t>借</t>
  </si>
  <si>
    <t>生产性生物性资产/椰子基地</t>
  </si>
  <si>
    <t>贷</t>
  </si>
  <si>
    <t>存货/生产成本/椰子基地</t>
  </si>
  <si>
    <t>补提所得税小计</t>
  </si>
  <si>
    <r>
      <rPr>
        <sz val="11"/>
        <color theme="1"/>
        <rFont val="宋体"/>
        <charset val="134"/>
        <scheme val="minor"/>
      </rPr>
      <t>2</t>
    </r>
    <r>
      <rPr>
        <sz val="11"/>
        <color theme="1"/>
        <rFont val="宋体"/>
        <charset val="134"/>
        <scheme val="minor"/>
      </rPr>
      <t>019年利润总额</t>
    </r>
  </si>
  <si>
    <t>调整分录</t>
  </si>
  <si>
    <t>减坏账准备冲回数</t>
  </si>
  <si>
    <r>
      <rPr>
        <sz val="11"/>
        <color theme="1"/>
        <rFont val="宋体"/>
        <charset val="134"/>
        <scheme val="minor"/>
      </rPr>
      <t>按政策1</t>
    </r>
    <r>
      <rPr>
        <sz val="11"/>
        <color theme="1"/>
        <rFont val="宋体"/>
        <charset val="134"/>
        <scheme val="minor"/>
      </rPr>
      <t>00万利润总额按25%计算所得额</t>
    </r>
  </si>
  <si>
    <t>所得税</t>
  </si>
  <si>
    <r>
      <rPr>
        <sz val="11"/>
        <color theme="1"/>
        <rFont val="宋体"/>
        <charset val="134"/>
        <scheme val="minor"/>
      </rPr>
      <t>2</t>
    </r>
    <r>
      <rPr>
        <sz val="11"/>
        <color theme="1"/>
        <rFont val="宋体"/>
        <charset val="134"/>
        <scheme val="minor"/>
      </rPr>
      <t>018年利润表调所得税科目，资产负责有调未分配利润科目</t>
    </r>
  </si>
  <si>
    <r>
      <rPr>
        <sz val="11"/>
        <color theme="1"/>
        <rFont val="宋体"/>
        <charset val="134"/>
        <scheme val="minor"/>
      </rPr>
      <t>优惠税率2</t>
    </r>
    <r>
      <rPr>
        <sz val="11"/>
        <color theme="1"/>
        <rFont val="宋体"/>
        <charset val="134"/>
        <scheme val="minor"/>
      </rPr>
      <t>0%</t>
    </r>
  </si>
  <si>
    <t>调利润表上所得税科目</t>
  </si>
  <si>
    <r>
      <rPr>
        <sz val="11"/>
        <color theme="1"/>
        <rFont val="宋体"/>
        <charset val="134"/>
        <scheme val="minor"/>
      </rPr>
      <t>2</t>
    </r>
    <r>
      <rPr>
        <sz val="11"/>
        <color theme="1"/>
        <rFont val="宋体"/>
        <charset val="134"/>
        <scheme val="minor"/>
      </rPr>
      <t>019年应计提的企业所得税</t>
    </r>
  </si>
  <si>
    <t>已计提企业所得税</t>
  </si>
  <si>
    <t>应调整冲回多计提的企业所得税</t>
  </si>
  <si>
    <t>调整冲回我计提的企业所得税</t>
  </si>
  <si>
    <r>
      <rPr>
        <sz val="11"/>
        <color theme="1"/>
        <rFont val="宋体"/>
        <charset val="134"/>
        <scheme val="minor"/>
      </rPr>
      <t>应交税金-</t>
    </r>
    <r>
      <rPr>
        <sz val="11"/>
        <color theme="1"/>
        <rFont val="宋体"/>
        <charset val="134"/>
        <scheme val="minor"/>
      </rPr>
      <t>-企业所得税</t>
    </r>
  </si>
</sst>
</file>

<file path=xl/styles.xml><?xml version="1.0" encoding="utf-8"?>
<styleSheet xmlns="http://schemas.openxmlformats.org/spreadsheetml/2006/main">
  <numFmts count="9">
    <numFmt numFmtId="176" formatCode="#,##0.00_ "/>
    <numFmt numFmtId="44" formatCode="_ &quot;￥&quot;* #,##0.00_ ;_ &quot;￥&quot;* \-#,##0.00_ ;_ &quot;￥&quot;* &quot;-&quot;??_ ;_ @_ "/>
    <numFmt numFmtId="177" formatCode="0.00_ "/>
    <numFmt numFmtId="42" formatCode="_ &quot;￥&quot;* #,##0_ ;_ &quot;￥&quot;* \-#,##0_ ;_ &quot;￥&quot;* &quot;-&quot;_ ;_ @_ "/>
    <numFmt numFmtId="41" formatCode="_ * #,##0_ ;_ * \-#,##0_ ;_ * &quot;-&quot;_ ;_ @_ "/>
    <numFmt numFmtId="43" formatCode="_ * #,##0.00_ ;_ * \-#,##0.00_ ;_ * &quot;-&quot;??_ ;_ @_ "/>
    <numFmt numFmtId="178" formatCode="0.0_ "/>
    <numFmt numFmtId="179" formatCode="0.000_ "/>
    <numFmt numFmtId="180" formatCode="_ * #,##0_ ;_ * \-#,##0_ ;_ * &quot;-&quot;??_ ;_ @_ "/>
  </numFmts>
  <fonts count="61">
    <font>
      <sz val="11"/>
      <color theme="1"/>
      <name val="宋体"/>
      <charset val="134"/>
      <scheme val="minor"/>
    </font>
    <font>
      <sz val="10.5"/>
      <color theme="1"/>
      <name val="宋体"/>
      <charset val="134"/>
    </font>
    <font>
      <sz val="10.5"/>
      <color theme="1"/>
      <name val="Times New Roman"/>
      <charset val="134"/>
    </font>
    <font>
      <sz val="11"/>
      <color rgb="FFFF0000"/>
      <name val="宋体"/>
      <charset val="134"/>
      <scheme val="minor"/>
    </font>
    <font>
      <sz val="10"/>
      <color rgb="FF000000"/>
      <name val="宋体"/>
      <charset val="134"/>
      <scheme val="minor"/>
    </font>
    <font>
      <sz val="11"/>
      <name val="Times New Roman"/>
      <charset val="134"/>
    </font>
    <font>
      <sz val="10"/>
      <name val="Times New Roman"/>
      <charset val="134"/>
    </font>
    <font>
      <b/>
      <sz val="18"/>
      <name val="宋体"/>
      <charset val="134"/>
    </font>
    <font>
      <b/>
      <sz val="18"/>
      <name val="Times New Roman"/>
      <charset val="134"/>
    </font>
    <font>
      <sz val="11"/>
      <name val="宋体"/>
      <charset val="134"/>
    </font>
    <font>
      <sz val="11"/>
      <color indexed="8"/>
      <name val="宋体"/>
      <charset val="134"/>
    </font>
    <font>
      <sz val="11"/>
      <color indexed="8"/>
      <name val="Times New Roman"/>
      <charset val="134"/>
    </font>
    <font>
      <b/>
      <sz val="11"/>
      <color indexed="8"/>
      <name val="宋体"/>
      <charset val="134"/>
    </font>
    <font>
      <b/>
      <sz val="11"/>
      <color indexed="8"/>
      <name val="Times New Roman"/>
      <charset val="134"/>
    </font>
    <font>
      <sz val="10"/>
      <color indexed="8"/>
      <name val="Times New Roman"/>
      <charset val="134"/>
    </font>
    <font>
      <b/>
      <sz val="11"/>
      <color theme="1"/>
      <name val="宋体"/>
      <charset val="134"/>
      <scheme val="minor"/>
    </font>
    <font>
      <b/>
      <sz val="11"/>
      <name val="宋体"/>
      <charset val="134"/>
      <scheme val="minor"/>
    </font>
    <font>
      <sz val="11"/>
      <name val="Arial"/>
      <charset val="134"/>
    </font>
    <font>
      <b/>
      <sz val="11"/>
      <name val="宋体"/>
      <charset val="134"/>
    </font>
    <font>
      <b/>
      <sz val="11"/>
      <name val="Times New Roman"/>
      <charset val="134"/>
    </font>
    <font>
      <b/>
      <sz val="10"/>
      <name val="Times New Roman"/>
      <charset val="134"/>
    </font>
    <font>
      <sz val="11"/>
      <color rgb="FFFF0000"/>
      <name val="Times New Roman"/>
      <charset val="134"/>
    </font>
    <font>
      <sz val="10"/>
      <name val="Arial"/>
      <charset val="134"/>
    </font>
    <font>
      <sz val="11"/>
      <color rgb="FFFF0000"/>
      <name val="宋体"/>
      <charset val="134"/>
    </font>
    <font>
      <sz val="11"/>
      <color theme="1"/>
      <name val="宋体"/>
      <charset val="134"/>
    </font>
    <font>
      <sz val="9"/>
      <color indexed="8"/>
      <name val="宋体"/>
      <charset val="134"/>
    </font>
    <font>
      <sz val="10"/>
      <name val="宋体"/>
      <charset val="134"/>
    </font>
    <font>
      <b/>
      <sz val="10"/>
      <name val="宋体"/>
      <charset val="134"/>
      <scheme val="minor"/>
    </font>
    <font>
      <b/>
      <sz val="18"/>
      <color theme="1"/>
      <name val="宋体"/>
      <charset val="134"/>
      <scheme val="minor"/>
    </font>
    <font>
      <b/>
      <sz val="11"/>
      <name val="Arial"/>
      <charset val="134"/>
    </font>
    <font>
      <b/>
      <sz val="18"/>
      <color indexed="8"/>
      <name val="宋体"/>
      <charset val="134"/>
    </font>
    <font>
      <b/>
      <sz val="10"/>
      <name val="宋体"/>
      <charset val="134"/>
    </font>
    <font>
      <sz val="10"/>
      <color indexed="8"/>
      <name val="宋体"/>
      <charset val="134"/>
    </font>
    <font>
      <b/>
      <sz val="10"/>
      <color indexed="8"/>
      <name val="宋体"/>
      <charset val="134"/>
    </font>
    <font>
      <b/>
      <sz val="10"/>
      <color indexed="8"/>
      <name val="Times New Roman"/>
      <charset val="134"/>
    </font>
    <font>
      <sz val="11"/>
      <color rgb="FF000000"/>
      <name val="宋体"/>
      <charset val="134"/>
    </font>
    <font>
      <b/>
      <sz val="18"/>
      <color rgb="FF000000"/>
      <name val="宋体"/>
      <charset val="134"/>
    </font>
    <font>
      <sz val="12"/>
      <name val="宋体"/>
      <charset val="134"/>
    </font>
    <font>
      <sz val="11"/>
      <color theme="1"/>
      <name val="宋体"/>
      <charset val="0"/>
      <scheme val="minor"/>
    </font>
    <font>
      <sz val="11"/>
      <color theme="0"/>
      <name val="宋体"/>
      <charset val="0"/>
      <scheme val="minor"/>
    </font>
    <font>
      <b/>
      <sz val="15"/>
      <color theme="3"/>
      <name val="宋体"/>
      <charset val="134"/>
      <scheme val="minor"/>
    </font>
    <font>
      <u/>
      <sz val="11"/>
      <color rgb="FF0000FF"/>
      <name val="宋体"/>
      <charset val="0"/>
      <scheme val="minor"/>
    </font>
    <font>
      <sz val="12"/>
      <color theme="1"/>
      <name val="宋体"/>
      <charset val="134"/>
      <scheme val="minor"/>
    </font>
    <font>
      <i/>
      <sz val="11"/>
      <color rgb="FF7F7F7F"/>
      <name val="宋体"/>
      <charset val="0"/>
      <scheme val="minor"/>
    </font>
    <font>
      <sz val="11"/>
      <color rgb="FF006100"/>
      <name val="宋体"/>
      <charset val="0"/>
      <scheme val="minor"/>
    </font>
    <font>
      <sz val="11"/>
      <color rgb="FF3F3F76"/>
      <name val="宋体"/>
      <charset val="0"/>
      <scheme val="minor"/>
    </font>
    <font>
      <b/>
      <sz val="11"/>
      <color rgb="FF3F3F3F"/>
      <name val="宋体"/>
      <charset val="0"/>
      <scheme val="minor"/>
    </font>
    <font>
      <sz val="11"/>
      <color rgb="FF9C0006"/>
      <name val="宋体"/>
      <charset val="0"/>
      <scheme val="minor"/>
    </font>
    <font>
      <b/>
      <sz val="18"/>
      <color theme="3"/>
      <name val="宋体"/>
      <charset val="134"/>
      <scheme val="minor"/>
    </font>
    <font>
      <b/>
      <sz val="13"/>
      <color theme="3"/>
      <name val="宋体"/>
      <charset val="134"/>
      <scheme val="minor"/>
    </font>
    <font>
      <sz val="11"/>
      <color rgb="FFFF0000"/>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11"/>
      <color rgb="FF000000"/>
      <name val="Times New Roman"/>
      <charset val="134"/>
    </font>
    <font>
      <b/>
      <sz val="9"/>
      <name val="宋体"/>
      <charset val="134"/>
    </font>
    <font>
      <sz val="9"/>
      <name val="宋体"/>
      <charset val="134"/>
    </font>
  </fonts>
  <fills count="3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bgColor indexed="64"/>
      </patternFill>
    </fill>
    <fill>
      <patternFill patternType="solid">
        <fgColor theme="6"/>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7"/>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00B0F0"/>
      </left>
      <right style="thin">
        <color rgb="FF00B0F0"/>
      </right>
      <top style="thin">
        <color rgb="FF00B0F0"/>
      </top>
      <bottom style="thin">
        <color rgb="FF00B0F0"/>
      </bottom>
      <diagonal/>
    </border>
    <border>
      <left/>
      <right style="thin">
        <color auto="1"/>
      </right>
      <top style="medium">
        <color auto="1"/>
      </top>
      <bottom/>
      <diagonal/>
    </border>
    <border>
      <left style="thin">
        <color auto="1"/>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style="thin">
        <color indexed="8"/>
      </bottom>
      <diagonal/>
    </border>
    <border>
      <left style="thin">
        <color auto="1"/>
      </left>
      <right/>
      <top/>
      <bottom style="thin">
        <color auto="1"/>
      </bottom>
      <diagonal/>
    </border>
    <border>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indexed="8"/>
      </top>
      <bottom style="double">
        <color auto="1"/>
      </bottom>
      <diagonal/>
    </border>
    <border>
      <left style="hair">
        <color rgb="FF008080"/>
      </left>
      <right style="hair">
        <color rgb="FF008080"/>
      </right>
      <top style="hair">
        <color rgb="FF008080"/>
      </top>
      <bottom style="hair">
        <color rgb="FF008080"/>
      </bottom>
      <diagonal/>
    </border>
    <border>
      <left style="thin">
        <color auto="1"/>
      </left>
      <right/>
      <top style="thin">
        <color auto="1"/>
      </top>
      <bottom style="double">
        <color auto="1"/>
      </bottom>
      <diagonal/>
    </border>
    <border>
      <left style="thin">
        <color auto="1"/>
      </left>
      <right/>
      <top style="double">
        <color auto="1"/>
      </top>
      <bottom style="thin">
        <color auto="1"/>
      </bottom>
      <diagonal/>
    </border>
    <border>
      <left/>
      <right style="thin">
        <color auto="1"/>
      </right>
      <top style="medium">
        <color auto="1"/>
      </top>
      <bottom style="thin">
        <color auto="1"/>
      </bottom>
      <diagonal/>
    </border>
    <border>
      <left style="thin">
        <color indexed="23"/>
      </left>
      <right style="thin">
        <color indexed="23"/>
      </right>
      <top style="thin">
        <color indexed="23"/>
      </top>
      <bottom style="thin">
        <color indexed="23"/>
      </bottom>
      <diagonal/>
    </border>
    <border>
      <left style="thin">
        <color auto="1"/>
      </left>
      <right/>
      <top style="thin">
        <color auto="1"/>
      </top>
      <bottom/>
      <diagonal/>
    </border>
    <border>
      <left style="thin">
        <color auto="1"/>
      </left>
      <right/>
      <top style="thin">
        <color auto="1"/>
      </top>
      <bottom style="medium">
        <color auto="1"/>
      </bottom>
      <diagonal/>
    </border>
    <border>
      <left style="thin">
        <color indexed="23"/>
      </left>
      <right style="thin">
        <color indexed="8"/>
      </right>
      <top style="thin">
        <color indexed="23"/>
      </top>
      <bottom style="thin">
        <color indexed="8"/>
      </bottom>
      <diagonal/>
    </border>
    <border>
      <left style="thin">
        <color auto="1"/>
      </left>
      <right style="thin">
        <color auto="1"/>
      </right>
      <top style="thin">
        <color indexed="23"/>
      </top>
      <bottom style="thin">
        <color indexed="8"/>
      </bottom>
      <diagonal/>
    </border>
    <border>
      <left style="thin">
        <color indexed="23"/>
      </left>
      <right style="thin">
        <color indexed="8"/>
      </right>
      <top style="thin">
        <color indexed="8"/>
      </top>
      <bottom style="thin">
        <color indexed="8"/>
      </bottom>
      <diagonal/>
    </border>
    <border>
      <left style="thin">
        <color auto="1"/>
      </left>
      <right style="thin">
        <color auto="1"/>
      </right>
      <top style="thin">
        <color indexed="8"/>
      </top>
      <bottom style="thin">
        <color indexed="8"/>
      </bottom>
      <diagonal/>
    </border>
    <border>
      <left style="thin">
        <color auto="1"/>
      </left>
      <right style="thin">
        <color auto="1"/>
      </right>
      <top style="thin">
        <color indexed="8"/>
      </top>
      <bottom/>
      <diagonal/>
    </border>
    <border>
      <left style="thin">
        <color auto="1"/>
      </left>
      <right style="thin">
        <color auto="1"/>
      </right>
      <top/>
      <bottom style="thin">
        <color indexed="8"/>
      </bottom>
      <diagonal/>
    </border>
    <border>
      <left style="thin">
        <color indexed="23"/>
      </left>
      <right/>
      <top style="thin">
        <color indexed="23"/>
      </top>
      <bottom style="thin">
        <color indexed="23"/>
      </bottom>
      <diagonal/>
    </border>
    <border>
      <left style="thin">
        <color auto="1"/>
      </left>
      <right/>
      <top style="thin">
        <color indexed="23"/>
      </top>
      <bottom style="thin">
        <color indexed="8"/>
      </bottom>
      <diagonal/>
    </border>
    <border>
      <left style="thin">
        <color indexed="8"/>
      </left>
      <right/>
      <top style="thin">
        <color indexed="23"/>
      </top>
      <bottom style="thin">
        <color indexed="8"/>
      </bottom>
      <diagonal/>
    </border>
    <border>
      <left style="thin">
        <color auto="1"/>
      </left>
      <right/>
      <top style="thin">
        <color indexed="8"/>
      </top>
      <bottom style="thin">
        <color indexed="8"/>
      </bottom>
      <diagonal/>
    </border>
    <border>
      <left style="thin">
        <color indexed="23"/>
      </left>
      <right style="thin">
        <color indexed="23"/>
      </right>
      <top style="thin">
        <color indexed="23"/>
      </top>
      <bottom style="thick">
        <color indexed="23"/>
      </bottom>
      <diagonal/>
    </border>
    <border>
      <left style="thin">
        <color auto="1"/>
      </left>
      <right style="thin">
        <color auto="1"/>
      </right>
      <top style="thin">
        <color indexed="8"/>
      </top>
      <bottom style="thick">
        <color indexed="8"/>
      </bottom>
      <diagonal/>
    </border>
    <border>
      <left style="thin">
        <color indexed="8"/>
      </left>
      <right/>
      <top style="thick">
        <color indexed="23"/>
      </top>
      <bottom/>
      <diagonal/>
    </border>
    <border>
      <left/>
      <right style="thin">
        <color indexed="8"/>
      </right>
      <top style="thick">
        <color indexed="23"/>
      </top>
      <bottom style="thin">
        <color indexed="8"/>
      </bottom>
      <diagonal/>
    </border>
    <border>
      <left style="thin">
        <color indexed="8"/>
      </left>
      <right style="thin">
        <color indexed="8"/>
      </right>
      <top style="thick">
        <color indexed="8"/>
      </top>
      <bottom style="thin">
        <color indexed="8"/>
      </bottom>
      <diagonal/>
    </border>
    <border>
      <left style="thin">
        <color auto="1"/>
      </left>
      <right/>
      <top style="thin">
        <color indexed="8"/>
      </top>
      <bottom style="thick">
        <color indexed="8"/>
      </bottom>
      <diagonal/>
    </border>
    <border>
      <left style="thin">
        <color indexed="8"/>
      </left>
      <right style="thin">
        <color indexed="8"/>
      </right>
      <top style="thick">
        <color indexed="23"/>
      </top>
      <bottom style="thin">
        <color indexed="8"/>
      </bottom>
      <diagonal/>
    </border>
    <border>
      <left style="thin">
        <color indexed="8"/>
      </left>
      <right/>
      <top style="thin">
        <color indexed="8"/>
      </top>
      <bottom style="thick">
        <color indexed="8"/>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1">
    <xf numFmtId="0" fontId="0" fillId="0" borderId="0">
      <alignment vertical="center"/>
    </xf>
    <xf numFmtId="42" fontId="42" fillId="0" borderId="0" applyFont="0" applyFill="0" applyBorder="0" applyAlignment="0" applyProtection="0">
      <alignment vertical="center"/>
    </xf>
    <xf numFmtId="0" fontId="38" fillId="7" borderId="0" applyNumberFormat="0" applyBorder="0" applyAlignment="0" applyProtection="0">
      <alignment vertical="center"/>
    </xf>
    <xf numFmtId="0" fontId="45" fillId="9" borderId="47" applyNumberFormat="0" applyAlignment="0" applyProtection="0">
      <alignment vertical="center"/>
    </xf>
    <xf numFmtId="44" fontId="42" fillId="0" borderId="0" applyFont="0" applyFill="0" applyBorder="0" applyAlignment="0" applyProtection="0">
      <alignment vertical="center"/>
    </xf>
    <xf numFmtId="41" fontId="42" fillId="0" borderId="0" applyFont="0" applyFill="0" applyBorder="0" applyAlignment="0" applyProtection="0">
      <alignment vertical="center"/>
    </xf>
    <xf numFmtId="0" fontId="38" fillId="15" borderId="0" applyNumberFormat="0" applyBorder="0" applyAlignment="0" applyProtection="0">
      <alignment vertical="center"/>
    </xf>
    <xf numFmtId="0" fontId="47" fillId="11" borderId="0" applyNumberFormat="0" applyBorder="0" applyAlignment="0" applyProtection="0">
      <alignment vertical="center"/>
    </xf>
    <xf numFmtId="43" fontId="0" fillId="0" borderId="0" applyFont="0" applyFill="0" applyBorder="0" applyAlignment="0" applyProtection="0">
      <alignment vertical="center"/>
    </xf>
    <xf numFmtId="0" fontId="39" fillId="19"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51" fillId="0" borderId="0" applyNumberFormat="0" applyFill="0" applyBorder="0" applyAlignment="0" applyProtection="0">
      <alignment vertical="center"/>
    </xf>
    <xf numFmtId="0" fontId="42" fillId="20" borderId="49" applyNumberFormat="0" applyFont="0" applyAlignment="0" applyProtection="0">
      <alignment vertical="center"/>
    </xf>
    <xf numFmtId="0" fontId="39" fillId="24" borderId="0" applyNumberFormat="0" applyBorder="0" applyAlignment="0" applyProtection="0">
      <alignment vertical="center"/>
    </xf>
    <xf numFmtId="0" fontId="53"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0" fillId="0" borderId="46" applyNumberFormat="0" applyFill="0" applyAlignment="0" applyProtection="0">
      <alignment vertical="center"/>
    </xf>
    <xf numFmtId="0" fontId="49" fillId="0" borderId="46" applyNumberFormat="0" applyFill="0" applyAlignment="0" applyProtection="0">
      <alignment vertical="center"/>
    </xf>
    <xf numFmtId="0" fontId="39" fillId="6" borderId="0" applyNumberFormat="0" applyBorder="0" applyAlignment="0" applyProtection="0">
      <alignment vertical="center"/>
    </xf>
    <xf numFmtId="0" fontId="53" fillId="0" borderId="50" applyNumberFormat="0" applyFill="0" applyAlignment="0" applyProtection="0">
      <alignment vertical="center"/>
    </xf>
    <xf numFmtId="0" fontId="39" fillId="5" borderId="0" applyNumberFormat="0" applyBorder="0" applyAlignment="0" applyProtection="0">
      <alignment vertical="center"/>
    </xf>
    <xf numFmtId="0" fontId="46" fillId="10" borderId="48" applyNumberFormat="0" applyAlignment="0" applyProtection="0">
      <alignment vertical="center"/>
    </xf>
    <xf numFmtId="0" fontId="55" fillId="10" borderId="47" applyNumberFormat="0" applyAlignment="0" applyProtection="0">
      <alignment vertical="center"/>
    </xf>
    <xf numFmtId="0" fontId="56" fillId="27" borderId="52" applyNumberFormat="0" applyAlignment="0" applyProtection="0">
      <alignment vertical="center"/>
    </xf>
    <xf numFmtId="0" fontId="38" fillId="4" borderId="0" applyNumberFormat="0" applyBorder="0" applyAlignment="0" applyProtection="0">
      <alignment vertical="center"/>
    </xf>
    <xf numFmtId="0" fontId="39" fillId="14" borderId="0" applyNumberFormat="0" applyBorder="0" applyAlignment="0" applyProtection="0">
      <alignment vertical="center"/>
    </xf>
    <xf numFmtId="0" fontId="57" fillId="0" borderId="53" applyNumberFormat="0" applyFill="0" applyAlignment="0" applyProtection="0">
      <alignment vertical="center"/>
    </xf>
    <xf numFmtId="0" fontId="54" fillId="0" borderId="51" applyNumberFormat="0" applyFill="0" applyAlignment="0" applyProtection="0">
      <alignment vertical="center"/>
    </xf>
    <xf numFmtId="0" fontId="44" fillId="8" borderId="0" applyNumberFormat="0" applyBorder="0" applyAlignment="0" applyProtection="0">
      <alignment vertical="center"/>
    </xf>
    <xf numFmtId="0" fontId="52" fillId="25" borderId="0" applyNumberFormat="0" applyBorder="0" applyAlignment="0" applyProtection="0">
      <alignment vertical="center"/>
    </xf>
    <xf numFmtId="0" fontId="38" fillId="31" borderId="0" applyNumberFormat="0" applyBorder="0" applyAlignment="0" applyProtection="0">
      <alignment vertical="center"/>
    </xf>
    <xf numFmtId="0" fontId="39" fillId="26" borderId="0" applyNumberFormat="0" applyBorder="0" applyAlignment="0" applyProtection="0">
      <alignment vertical="center"/>
    </xf>
    <xf numFmtId="0" fontId="38" fillId="23" borderId="0" applyNumberFormat="0" applyBorder="0" applyAlignment="0" applyProtection="0">
      <alignment vertical="center"/>
    </xf>
    <xf numFmtId="0" fontId="38" fillId="18" borderId="0" applyNumberFormat="0" applyBorder="0" applyAlignment="0" applyProtection="0">
      <alignment vertical="center"/>
    </xf>
    <xf numFmtId="0" fontId="38" fillId="30" borderId="0" applyNumberFormat="0" applyBorder="0" applyAlignment="0" applyProtection="0">
      <alignment vertical="center"/>
    </xf>
    <xf numFmtId="0" fontId="38" fillId="33" borderId="0" applyNumberFormat="0" applyBorder="0" applyAlignment="0" applyProtection="0">
      <alignment vertical="center"/>
    </xf>
    <xf numFmtId="0" fontId="39" fillId="29" borderId="0" applyNumberFormat="0" applyBorder="0" applyAlignment="0" applyProtection="0">
      <alignment vertical="center"/>
    </xf>
    <xf numFmtId="0" fontId="39" fillId="34" borderId="0" applyNumberFormat="0" applyBorder="0" applyAlignment="0" applyProtection="0">
      <alignment vertical="center"/>
    </xf>
    <xf numFmtId="0" fontId="38" fillId="22" borderId="0" applyNumberFormat="0" applyBorder="0" applyAlignment="0" applyProtection="0">
      <alignment vertical="center"/>
    </xf>
    <xf numFmtId="0" fontId="38" fillId="17" borderId="0" applyNumberFormat="0" applyBorder="0" applyAlignment="0" applyProtection="0">
      <alignment vertical="center"/>
    </xf>
    <xf numFmtId="0" fontId="39" fillId="13" borderId="0" applyNumberFormat="0" applyBorder="0" applyAlignment="0" applyProtection="0">
      <alignment vertical="center"/>
    </xf>
    <xf numFmtId="0" fontId="38" fillId="32" borderId="0" applyNumberFormat="0" applyBorder="0" applyAlignment="0" applyProtection="0">
      <alignment vertical="center"/>
    </xf>
    <xf numFmtId="0" fontId="39" fillId="21" borderId="0" applyNumberFormat="0" applyBorder="0" applyAlignment="0" applyProtection="0">
      <alignment vertical="center"/>
    </xf>
    <xf numFmtId="0" fontId="39" fillId="28" borderId="0" applyNumberFormat="0" applyBorder="0" applyAlignment="0" applyProtection="0">
      <alignment vertical="center"/>
    </xf>
    <xf numFmtId="0" fontId="38" fillId="12" borderId="0" applyNumberFormat="0" applyBorder="0" applyAlignment="0" applyProtection="0">
      <alignment vertical="center"/>
    </xf>
    <xf numFmtId="0" fontId="39" fillId="16" borderId="0" applyNumberFormat="0" applyBorder="0" applyAlignment="0" applyProtection="0">
      <alignment vertical="center"/>
    </xf>
    <xf numFmtId="0" fontId="37" fillId="0" borderId="0"/>
    <xf numFmtId="0" fontId="37" fillId="0" borderId="0"/>
  </cellStyleXfs>
  <cellXfs count="375">
    <xf numFmtId="0" fontId="0" fillId="0" borderId="0" xfId="0">
      <alignment vertical="center"/>
    </xf>
    <xf numFmtId="0" fontId="0" fillId="2" borderId="0" xfId="0" applyFill="1">
      <alignment vertical="center"/>
    </xf>
    <xf numFmtId="0" fontId="0" fillId="3" borderId="0" xfId="0" applyFill="1">
      <alignment vertical="center"/>
    </xf>
    <xf numFmtId="176" fontId="0" fillId="3" borderId="0" xfId="0" applyNumberFormat="1" applyFill="1">
      <alignment vertical="center"/>
    </xf>
    <xf numFmtId="0" fontId="0" fillId="2" borderId="1" xfId="0" applyFill="1" applyBorder="1">
      <alignment vertical="center"/>
    </xf>
    <xf numFmtId="0" fontId="0" fillId="2" borderId="1" xfId="0" applyFill="1" applyBorder="1" applyAlignment="1">
      <alignment horizontal="center" vertical="center"/>
    </xf>
    <xf numFmtId="176" fontId="0" fillId="2" borderId="1" xfId="0" applyNumberFormat="1" applyFill="1" applyBorder="1" applyAlignment="1">
      <alignment horizontal="center" vertical="center"/>
    </xf>
    <xf numFmtId="0" fontId="0" fillId="3" borderId="1" xfId="0" applyFill="1" applyBorder="1">
      <alignment vertical="center"/>
    </xf>
    <xf numFmtId="176" fontId="0" fillId="3" borderId="1" xfId="0" applyNumberFormat="1" applyFill="1" applyBorder="1" applyAlignment="1">
      <alignment horizontal="center" vertical="center"/>
    </xf>
    <xf numFmtId="176" fontId="0" fillId="3" borderId="1" xfId="0" applyNumberFormat="1" applyFill="1" applyBorder="1">
      <alignment vertical="center"/>
    </xf>
    <xf numFmtId="0" fontId="0" fillId="2" borderId="1" xfId="0" applyFill="1" applyBorder="1" applyAlignment="1">
      <alignment vertical="center"/>
    </xf>
    <xf numFmtId="0" fontId="0" fillId="3" borderId="1" xfId="0" applyFill="1" applyBorder="1" applyAlignment="1">
      <alignment vertical="center"/>
    </xf>
    <xf numFmtId="0" fontId="0" fillId="3" borderId="1" xfId="0" applyFill="1" applyBorder="1" applyAlignment="1">
      <alignment horizontal="center" vertical="center"/>
    </xf>
    <xf numFmtId="176" fontId="0" fillId="3" borderId="1" xfId="0" applyNumberFormat="1" applyFill="1" applyBorder="1" applyAlignment="1">
      <alignment vertical="center"/>
    </xf>
    <xf numFmtId="0" fontId="0" fillId="3" borderId="1" xfId="0" applyFont="1" applyFill="1" applyBorder="1" applyAlignment="1">
      <alignment vertical="center"/>
    </xf>
    <xf numFmtId="0" fontId="0" fillId="3" borderId="0" xfId="0" applyFill="1" applyAlignment="1">
      <alignment vertical="center"/>
    </xf>
    <xf numFmtId="0" fontId="0" fillId="0" borderId="1" xfId="0" applyBorder="1">
      <alignment vertical="center"/>
    </xf>
    <xf numFmtId="176" fontId="0" fillId="0" borderId="1" xfId="0" applyNumberFormat="1" applyBorder="1">
      <alignment vertical="center"/>
    </xf>
    <xf numFmtId="4" fontId="0" fillId="3" borderId="1" xfId="0" applyNumberFormat="1" applyFill="1" applyBorder="1">
      <alignment vertical="center"/>
    </xf>
    <xf numFmtId="0" fontId="0" fillId="2" borderId="0" xfId="0" applyFill="1" applyAlignment="1">
      <alignment vertical="center"/>
    </xf>
    <xf numFmtId="0" fontId="0" fillId="2" borderId="1" xfId="0" applyFill="1" applyBorder="1" applyAlignment="1">
      <alignment vertical="center" wrapText="1"/>
    </xf>
    <xf numFmtId="0" fontId="0" fillId="3" borderId="1" xfId="0" applyFill="1" applyBorder="1" applyAlignment="1">
      <alignment vertical="center" wrapText="1"/>
    </xf>
    <xf numFmtId="43" fontId="0" fillId="3" borderId="1" xfId="8" applyFont="1" applyFill="1" applyBorder="1" applyAlignment="1">
      <alignment horizontal="center" vertical="center"/>
    </xf>
    <xf numFmtId="43" fontId="0" fillId="3" borderId="1" xfId="8" applyFont="1" applyFill="1" applyBorder="1" applyAlignment="1">
      <alignment vertical="center"/>
    </xf>
    <xf numFmtId="176" fontId="0" fillId="3" borderId="0" xfId="0" applyNumberFormat="1" applyFill="1" applyAlignment="1">
      <alignment vertical="center"/>
    </xf>
    <xf numFmtId="0" fontId="0" fillId="3" borderId="0" xfId="0" applyFill="1" applyAlignment="1">
      <alignment vertical="center" wrapText="1"/>
    </xf>
    <xf numFmtId="43" fontId="0" fillId="3" borderId="0" xfId="8" applyFont="1" applyFill="1" applyAlignment="1">
      <alignment vertical="center"/>
    </xf>
    <xf numFmtId="176" fontId="0" fillId="3" borderId="0" xfId="0" applyNumberFormat="1" applyFill="1" applyBorder="1" applyAlignment="1">
      <alignment vertical="center"/>
    </xf>
    <xf numFmtId="0" fontId="0" fillId="3" borderId="0" xfId="0" applyFill="1" applyBorder="1" applyAlignment="1">
      <alignment vertical="center"/>
    </xf>
    <xf numFmtId="43" fontId="0" fillId="3" borderId="1" xfId="8" applyFont="1" applyFill="1" applyBorder="1" applyAlignment="1">
      <alignment vertical="center" wrapText="1"/>
    </xf>
    <xf numFmtId="4" fontId="1" fillId="3" borderId="0" xfId="0" applyNumberFormat="1" applyFont="1" applyFill="1" applyBorder="1" applyAlignment="1">
      <alignment horizontal="justify" vertical="center"/>
    </xf>
    <xf numFmtId="4" fontId="1" fillId="3" borderId="0" xfId="0" applyNumberFormat="1" applyFont="1" applyFill="1" applyBorder="1" applyAlignment="1">
      <alignment horizontal="center" vertical="center"/>
    </xf>
    <xf numFmtId="4" fontId="1" fillId="3" borderId="0" xfId="0" applyNumberFormat="1" applyFont="1" applyFill="1" applyBorder="1" applyAlignment="1">
      <alignment horizontal="center"/>
    </xf>
    <xf numFmtId="176" fontId="0" fillId="3" borderId="1" xfId="0" applyNumberFormat="1" applyFont="1" applyFill="1" applyBorder="1" applyAlignment="1">
      <alignment vertical="center" wrapText="1"/>
    </xf>
    <xf numFmtId="0" fontId="0" fillId="3" borderId="1" xfId="0" applyFont="1" applyFill="1" applyBorder="1" applyAlignment="1">
      <alignment vertical="center" wrapText="1"/>
    </xf>
    <xf numFmtId="4" fontId="2" fillId="3" borderId="0" xfId="0" applyNumberFormat="1" applyFont="1" applyFill="1" applyBorder="1" applyAlignment="1">
      <alignment horizontal="center"/>
    </xf>
    <xf numFmtId="0" fontId="3" fillId="3" borderId="1" xfId="0" applyFont="1" applyFill="1" applyBorder="1" applyAlignment="1">
      <alignment vertical="center" wrapText="1"/>
    </xf>
    <xf numFmtId="0" fontId="0" fillId="3" borderId="2" xfId="0" applyFill="1" applyBorder="1" applyAlignment="1">
      <alignment vertical="center" wrapText="1"/>
    </xf>
    <xf numFmtId="43" fontId="0" fillId="3" borderId="2" xfId="8" applyFont="1" applyFill="1" applyBorder="1" applyAlignment="1">
      <alignment vertical="center"/>
    </xf>
    <xf numFmtId="0" fontId="0" fillId="3" borderId="3" xfId="0" applyFont="1" applyFill="1" applyBorder="1" applyAlignment="1">
      <alignment vertical="center" wrapText="1"/>
    </xf>
    <xf numFmtId="43" fontId="0" fillId="3" borderId="3" xfId="8" applyFont="1" applyFill="1" applyBorder="1" applyAlignment="1">
      <alignment vertical="center"/>
    </xf>
    <xf numFmtId="176" fontId="0" fillId="3" borderId="1" xfId="0" applyNumberFormat="1" applyFill="1" applyBorder="1" applyAlignment="1">
      <alignment horizontal="center" vertical="center" wrapText="1"/>
    </xf>
    <xf numFmtId="176" fontId="0" fillId="3" borderId="1" xfId="0" applyNumberFormat="1" applyFill="1" applyBorder="1" applyAlignment="1">
      <alignment vertical="center" wrapText="1"/>
    </xf>
    <xf numFmtId="0" fontId="3" fillId="3" borderId="0" xfId="0" applyFont="1" applyFill="1" applyAlignment="1">
      <alignment vertical="center" wrapText="1"/>
    </xf>
    <xf numFmtId="0" fontId="0" fillId="3" borderId="3" xfId="0" applyFont="1" applyFill="1" applyBorder="1" applyAlignment="1">
      <alignment vertical="center"/>
    </xf>
    <xf numFmtId="0" fontId="0" fillId="3" borderId="3" xfId="0" applyFill="1" applyBorder="1" applyAlignment="1">
      <alignment vertical="center"/>
    </xf>
    <xf numFmtId="9" fontId="0" fillId="3" borderId="1" xfId="0" applyNumberFormat="1" applyFill="1" applyBorder="1" applyAlignment="1">
      <alignment vertical="center"/>
    </xf>
    <xf numFmtId="0" fontId="0" fillId="3" borderId="0" xfId="0" applyFont="1" applyFill="1" applyAlignment="1">
      <alignment vertical="center" wrapText="1"/>
    </xf>
    <xf numFmtId="0" fontId="0" fillId="3" borderId="2" xfId="0" applyFill="1" applyBorder="1" applyAlignment="1">
      <alignment vertical="center"/>
    </xf>
    <xf numFmtId="0" fontId="0" fillId="3" borderId="3" xfId="0" applyFill="1" applyBorder="1" applyAlignment="1">
      <alignment vertical="center" wrapText="1"/>
    </xf>
    <xf numFmtId="176" fontId="0" fillId="3" borderId="0" xfId="0" applyNumberFormat="1" applyFill="1" applyAlignment="1">
      <alignment horizontal="center" vertical="center"/>
    </xf>
    <xf numFmtId="0" fontId="4" fillId="3" borderId="1" xfId="0" applyFont="1" applyFill="1" applyBorder="1" applyAlignment="1">
      <alignment horizontal="center" vertical="center"/>
    </xf>
    <xf numFmtId="0" fontId="4" fillId="3" borderId="1" xfId="0" applyFont="1" applyFill="1" applyBorder="1" applyAlignment="1">
      <alignment vertical="center"/>
    </xf>
    <xf numFmtId="9" fontId="0" fillId="3" borderId="1" xfId="11" applyFont="1" applyFill="1" applyBorder="1" applyAlignment="1">
      <alignment horizontal="center" vertical="center"/>
    </xf>
    <xf numFmtId="43" fontId="0" fillId="3" borderId="1" xfId="8" applyFont="1" applyFill="1" applyBorder="1">
      <alignment vertical="center"/>
    </xf>
    <xf numFmtId="4" fontId="0" fillId="3" borderId="1" xfId="0" applyNumberFormat="1" applyFont="1" applyFill="1" applyBorder="1" applyAlignment="1">
      <alignment vertical="center"/>
    </xf>
    <xf numFmtId="0" fontId="0" fillId="3" borderId="1" xfId="0" applyFont="1" applyFill="1" applyBorder="1" applyAlignment="1">
      <alignment horizontal="center" vertical="center"/>
    </xf>
    <xf numFmtId="43" fontId="0" fillId="3" borderId="1" xfId="0" applyNumberFormat="1" applyFont="1" applyFill="1" applyBorder="1" applyAlignment="1">
      <alignment horizontal="center" vertical="center"/>
    </xf>
    <xf numFmtId="0" fontId="0" fillId="3" borderId="0" xfId="0" applyFont="1" applyFill="1" applyAlignment="1">
      <alignment vertical="center"/>
    </xf>
    <xf numFmtId="176" fontId="0" fillId="3" borderId="1" xfId="0" applyNumberFormat="1" applyFont="1" applyFill="1" applyBorder="1" applyAlignment="1">
      <alignment vertical="center"/>
    </xf>
    <xf numFmtId="176" fontId="0" fillId="3" borderId="1" xfId="0" applyNumberFormat="1" applyFont="1" applyFill="1" applyBorder="1" applyAlignment="1">
      <alignment horizontal="center" vertical="center"/>
    </xf>
    <xf numFmtId="43" fontId="0" fillId="3" borderId="1" xfId="0" applyNumberFormat="1" applyFont="1" applyFill="1" applyBorder="1" applyAlignment="1">
      <alignment vertical="center"/>
    </xf>
    <xf numFmtId="176" fontId="0" fillId="3" borderId="0" xfId="0" applyNumberFormat="1" applyFont="1" applyFill="1" applyAlignment="1">
      <alignment horizontal="center" vertical="center"/>
    </xf>
    <xf numFmtId="43" fontId="0" fillId="3" borderId="0" xfId="0" applyNumberFormat="1" applyFont="1" applyFill="1" applyAlignment="1">
      <alignment vertical="center"/>
    </xf>
    <xf numFmtId="176" fontId="0" fillId="3" borderId="0" xfId="0" applyNumberFormat="1" applyFont="1" applyFill="1" applyAlignment="1">
      <alignment vertical="center"/>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6" fillId="3" borderId="0" xfId="0" applyFont="1" applyFill="1" applyBorder="1" applyAlignment="1">
      <alignment vertical="center" shrinkToFit="1"/>
    </xf>
    <xf numFmtId="176" fontId="6" fillId="3" borderId="0" xfId="0" applyNumberFormat="1" applyFont="1" applyFill="1" applyBorder="1" applyAlignment="1">
      <alignment vertical="center"/>
    </xf>
    <xf numFmtId="0" fontId="6" fillId="3" borderId="0" xfId="0" applyFont="1" applyFill="1" applyBorder="1" applyAlignment="1">
      <alignment vertical="center"/>
    </xf>
    <xf numFmtId="0" fontId="7" fillId="3" borderId="0" xfId="0" applyFont="1" applyFill="1" applyBorder="1" applyAlignment="1">
      <alignment horizontal="center" vertical="center"/>
    </xf>
    <xf numFmtId="0" fontId="8" fillId="3" borderId="0" xfId="0" applyFont="1" applyFill="1" applyBorder="1" applyAlignment="1">
      <alignment horizontal="center" vertical="center"/>
    </xf>
    <xf numFmtId="0" fontId="5" fillId="3" borderId="0" xfId="0" applyFont="1" applyFill="1" applyBorder="1" applyAlignment="1">
      <alignment horizontal="center" vertical="center"/>
    </xf>
    <xf numFmtId="0" fontId="9" fillId="3" borderId="0" xfId="0" applyFont="1" applyFill="1" applyBorder="1" applyAlignment="1">
      <alignment horizontal="left" vertical="center" shrinkToFit="1"/>
    </xf>
    <xf numFmtId="176" fontId="5" fillId="3" borderId="0" xfId="0" applyNumberFormat="1" applyFont="1" applyFill="1" applyBorder="1" applyAlignment="1">
      <alignment horizontal="left" vertical="center"/>
    </xf>
    <xf numFmtId="176" fontId="5" fillId="3" borderId="0" xfId="0" applyNumberFormat="1" applyFont="1" applyFill="1" applyBorder="1" applyAlignment="1">
      <alignment horizontal="center" vertical="center"/>
    </xf>
    <xf numFmtId="0" fontId="10" fillId="3" borderId="4" xfId="0" applyFont="1" applyFill="1" applyBorder="1" applyAlignment="1">
      <alignment horizontal="center" vertical="center" shrinkToFit="1"/>
    </xf>
    <xf numFmtId="176" fontId="10" fillId="3" borderId="5" xfId="0" applyNumberFormat="1" applyFont="1" applyFill="1" applyBorder="1" applyAlignment="1">
      <alignment horizontal="center" vertical="center" wrapText="1"/>
    </xf>
    <xf numFmtId="176" fontId="11" fillId="3" borderId="5" xfId="0" applyNumberFormat="1" applyFont="1" applyFill="1" applyBorder="1" applyAlignment="1">
      <alignment horizontal="center" vertical="center" wrapText="1"/>
    </xf>
    <xf numFmtId="0" fontId="11" fillId="3" borderId="6" xfId="0" applyFont="1" applyFill="1" applyBorder="1" applyAlignment="1">
      <alignment horizontal="center" vertical="center" shrinkToFit="1"/>
    </xf>
    <xf numFmtId="176" fontId="10" fillId="3" borderId="1" xfId="0" applyNumberFormat="1" applyFont="1" applyFill="1" applyBorder="1" applyAlignment="1">
      <alignment horizontal="center" vertical="center" wrapText="1"/>
    </xf>
    <xf numFmtId="176" fontId="10" fillId="3" borderId="1" xfId="0" applyNumberFormat="1" applyFont="1" applyFill="1" applyBorder="1" applyAlignment="1">
      <alignment horizontal="left" vertical="center" shrinkToFit="1"/>
    </xf>
    <xf numFmtId="0" fontId="12" fillId="3" borderId="6" xfId="0" applyFont="1" applyFill="1" applyBorder="1" applyAlignment="1">
      <alignment horizontal="left"/>
    </xf>
    <xf numFmtId="43" fontId="5" fillId="3" borderId="1" xfId="8" applyNumberFormat="1" applyFont="1" applyFill="1" applyBorder="1" applyAlignment="1" applyProtection="1">
      <alignment horizontal="right" vertical="center"/>
      <protection locked="0"/>
    </xf>
    <xf numFmtId="0" fontId="10" fillId="3" borderId="7" xfId="0" applyFont="1" applyFill="1" applyBorder="1" applyAlignment="1">
      <alignment horizontal="left" indent="1"/>
    </xf>
    <xf numFmtId="0" fontId="12" fillId="3" borderId="7" xfId="0" applyFont="1" applyFill="1" applyBorder="1" applyAlignment="1">
      <alignment horizontal="left"/>
    </xf>
    <xf numFmtId="0" fontId="10" fillId="3" borderId="7" xfId="0" applyFont="1" applyFill="1" applyBorder="1" applyAlignment="1">
      <alignment horizontal="left"/>
    </xf>
    <xf numFmtId="176" fontId="11" fillId="3" borderId="1" xfId="0" applyNumberFormat="1" applyFont="1" applyFill="1" applyBorder="1" applyAlignment="1">
      <alignment horizontal="right" vertical="center"/>
    </xf>
    <xf numFmtId="176" fontId="11" fillId="3" borderId="1" xfId="8" applyNumberFormat="1" applyFont="1" applyFill="1" applyBorder="1" applyAlignment="1">
      <alignment horizontal="right" vertical="center"/>
    </xf>
    <xf numFmtId="176" fontId="5" fillId="3" borderId="1" xfId="0" applyNumberFormat="1" applyFont="1" applyFill="1" applyBorder="1" applyAlignment="1">
      <alignment horizontal="right"/>
    </xf>
    <xf numFmtId="176" fontId="11" fillId="3" borderId="1" xfId="0" applyNumberFormat="1" applyFont="1" applyFill="1" applyBorder="1" applyAlignment="1">
      <alignment horizontal="right" vertical="center" shrinkToFit="1"/>
    </xf>
    <xf numFmtId="176" fontId="13" fillId="3" borderId="1" xfId="0" applyNumberFormat="1" applyFont="1" applyFill="1" applyBorder="1" applyAlignment="1">
      <alignment horizontal="right" vertical="center"/>
    </xf>
    <xf numFmtId="0" fontId="11" fillId="3" borderId="7" xfId="0" applyFont="1" applyFill="1" applyBorder="1" applyAlignment="1">
      <alignment horizontal="left"/>
    </xf>
    <xf numFmtId="176" fontId="11" fillId="3" borderId="1" xfId="0" applyNumberFormat="1" applyFont="1" applyFill="1" applyBorder="1" applyAlignment="1">
      <alignment horizontal="right" vertical="center" wrapText="1"/>
    </xf>
    <xf numFmtId="176" fontId="11" fillId="3" borderId="2" xfId="0" applyNumberFormat="1" applyFont="1" applyFill="1" applyBorder="1" applyAlignment="1">
      <alignment horizontal="right" vertical="center"/>
    </xf>
    <xf numFmtId="176" fontId="11" fillId="3" borderId="2" xfId="0" applyNumberFormat="1" applyFont="1" applyFill="1" applyBorder="1" applyAlignment="1">
      <alignment horizontal="right" vertical="center" shrinkToFit="1"/>
    </xf>
    <xf numFmtId="0" fontId="12" fillId="3" borderId="8" xfId="0" applyFont="1" applyFill="1" applyBorder="1" applyAlignment="1">
      <alignment horizontal="left"/>
    </xf>
    <xf numFmtId="176" fontId="11" fillId="3" borderId="9" xfId="0" applyNumberFormat="1" applyFont="1" applyFill="1" applyBorder="1" applyAlignment="1">
      <alignment horizontal="right" vertical="center"/>
    </xf>
    <xf numFmtId="176" fontId="5" fillId="3" borderId="9" xfId="8" applyNumberFormat="1" applyFont="1" applyFill="1" applyBorder="1" applyAlignment="1">
      <alignment horizontal="right"/>
    </xf>
    <xf numFmtId="176" fontId="11" fillId="3" borderId="9" xfId="0" applyNumberFormat="1" applyFont="1" applyFill="1" applyBorder="1" applyAlignment="1">
      <alignment horizontal="right" vertical="center" shrinkToFit="1"/>
    </xf>
    <xf numFmtId="0" fontId="9" fillId="3" borderId="0" xfId="0" applyFont="1" applyFill="1" applyBorder="1" applyAlignment="1"/>
    <xf numFmtId="176" fontId="9" fillId="3" borderId="0" xfId="0" applyNumberFormat="1" applyFont="1" applyFill="1" applyBorder="1" applyAlignment="1"/>
    <xf numFmtId="176" fontId="14" fillId="3" borderId="0" xfId="0" applyNumberFormat="1" applyFont="1" applyFill="1" applyBorder="1" applyAlignment="1">
      <alignment vertical="center"/>
    </xf>
    <xf numFmtId="176" fontId="5" fillId="3" borderId="0" xfId="0" applyNumberFormat="1" applyFont="1" applyFill="1" applyBorder="1" applyAlignment="1">
      <alignment horizontal="right" vertical="center"/>
    </xf>
    <xf numFmtId="176" fontId="5" fillId="3" borderId="0" xfId="0" applyNumberFormat="1" applyFont="1" applyFill="1" applyBorder="1" applyAlignment="1">
      <alignment vertical="center"/>
    </xf>
    <xf numFmtId="176" fontId="9" fillId="3" borderId="0" xfId="0" applyNumberFormat="1" applyFont="1" applyFill="1" applyBorder="1" applyAlignment="1">
      <alignment horizontal="right" vertical="center"/>
    </xf>
    <xf numFmtId="176" fontId="11" fillId="3" borderId="10" xfId="0" applyNumberFormat="1" applyFont="1" applyFill="1" applyBorder="1" applyAlignment="1">
      <alignment horizontal="center" vertical="center" wrapText="1"/>
    </xf>
    <xf numFmtId="176" fontId="10" fillId="3" borderId="11" xfId="0" applyNumberFormat="1" applyFont="1" applyFill="1" applyBorder="1" applyAlignment="1">
      <alignment horizontal="left" vertical="center" shrinkToFit="1"/>
    </xf>
    <xf numFmtId="176" fontId="11" fillId="3" borderId="11" xfId="0" applyNumberFormat="1" applyFont="1" applyFill="1" applyBorder="1" applyAlignment="1">
      <alignment horizontal="right" vertical="center"/>
    </xf>
    <xf numFmtId="176" fontId="11" fillId="3" borderId="1" xfId="8" applyNumberFormat="1" applyFont="1" applyFill="1" applyBorder="1" applyAlignment="1">
      <alignment horizontal="right" vertical="center" wrapText="1"/>
    </xf>
    <xf numFmtId="176" fontId="11" fillId="3" borderId="2" xfId="8" applyNumberFormat="1" applyFont="1" applyFill="1" applyBorder="1" applyAlignment="1">
      <alignment horizontal="right" vertical="center"/>
    </xf>
    <xf numFmtId="176" fontId="9" fillId="3" borderId="0" xfId="0" applyNumberFormat="1" applyFont="1" applyFill="1" applyBorder="1" applyAlignment="1">
      <alignment horizontal="left"/>
    </xf>
    <xf numFmtId="176" fontId="8" fillId="3" borderId="0" xfId="0" applyNumberFormat="1" applyFont="1" applyFill="1" applyBorder="1" applyAlignment="1">
      <alignment horizontal="center" vertical="center"/>
    </xf>
    <xf numFmtId="0" fontId="10" fillId="3" borderId="1" xfId="0" applyFont="1" applyFill="1" applyBorder="1" applyAlignment="1">
      <alignment horizontal="center" vertical="center" shrinkToFit="1"/>
    </xf>
    <xf numFmtId="176" fontId="11"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shrinkToFit="1"/>
    </xf>
    <xf numFmtId="0" fontId="12" fillId="3" borderId="1" xfId="0" applyFont="1" applyFill="1" applyBorder="1" applyAlignment="1">
      <alignment horizontal="left"/>
    </xf>
    <xf numFmtId="0" fontId="10" fillId="3" borderId="1" xfId="0" applyFont="1" applyFill="1" applyBorder="1" applyAlignment="1">
      <alignment horizontal="left" indent="1"/>
    </xf>
    <xf numFmtId="0" fontId="10" fillId="3" borderId="1" xfId="0" applyFont="1" applyFill="1" applyBorder="1" applyAlignment="1">
      <alignment horizontal="left"/>
    </xf>
    <xf numFmtId="0" fontId="11" fillId="3" borderId="1" xfId="0" applyFont="1" applyFill="1" applyBorder="1" applyAlignment="1">
      <alignment horizontal="left"/>
    </xf>
    <xf numFmtId="176" fontId="5" fillId="3" borderId="1" xfId="8" applyNumberFormat="1" applyFont="1" applyFill="1" applyBorder="1" applyAlignment="1">
      <alignment horizontal="right"/>
    </xf>
    <xf numFmtId="0" fontId="15" fillId="3" borderId="0" xfId="0" applyFont="1" applyFill="1">
      <alignment vertical="center"/>
    </xf>
    <xf numFmtId="0" fontId="0" fillId="3" borderId="0" xfId="0" applyFill="1" applyAlignment="1">
      <alignment horizontal="center" vertical="center"/>
    </xf>
    <xf numFmtId="176" fontId="9" fillId="3" borderId="12" xfId="49" applyNumberFormat="1" applyFont="1" applyFill="1" applyBorder="1" applyAlignment="1">
      <alignment horizontal="center" vertical="center"/>
    </xf>
    <xf numFmtId="43" fontId="9" fillId="3" borderId="12" xfId="8" applyNumberFormat="1" applyFont="1" applyFill="1" applyBorder="1" applyAlignment="1">
      <alignment horizontal="center" vertical="center"/>
    </xf>
    <xf numFmtId="176" fontId="3" fillId="3" borderId="1" xfId="0" applyNumberFormat="1" applyFont="1" applyFill="1" applyBorder="1">
      <alignment vertical="center"/>
    </xf>
    <xf numFmtId="0" fontId="15" fillId="3" borderId="1" xfId="0" applyFont="1" applyFill="1" applyBorder="1">
      <alignment vertical="center"/>
    </xf>
    <xf numFmtId="0" fontId="15" fillId="3" borderId="1" xfId="0" applyFont="1" applyFill="1" applyBorder="1" applyAlignment="1">
      <alignment horizontal="center" vertical="center"/>
    </xf>
    <xf numFmtId="176" fontId="15" fillId="2" borderId="1" xfId="0" applyNumberFormat="1" applyFont="1" applyFill="1" applyBorder="1">
      <alignment vertical="center"/>
    </xf>
    <xf numFmtId="176" fontId="15" fillId="3" borderId="0" xfId="0" applyNumberFormat="1" applyFont="1" applyFill="1">
      <alignment vertical="center"/>
    </xf>
    <xf numFmtId="176" fontId="15" fillId="2" borderId="1" xfId="0" applyNumberFormat="1" applyFont="1" applyFill="1" applyBorder="1" applyAlignment="1">
      <alignment horizontal="center" vertical="center"/>
    </xf>
    <xf numFmtId="176" fontId="0" fillId="3" borderId="1" xfId="0" applyNumberFormat="1" applyFill="1" applyBorder="1" applyAlignment="1">
      <alignment horizontal="right" vertical="center"/>
    </xf>
    <xf numFmtId="4" fontId="1" fillId="3" borderId="0" xfId="0" applyNumberFormat="1" applyFont="1" applyFill="1" applyAlignment="1">
      <alignment horizontal="justify" vertical="center"/>
    </xf>
    <xf numFmtId="176" fontId="16" fillId="2" borderId="1" xfId="0" applyNumberFormat="1" applyFont="1" applyFill="1" applyBorder="1" applyAlignment="1">
      <alignment horizontal="center" vertical="center"/>
    </xf>
    <xf numFmtId="176" fontId="0" fillId="2" borderId="1" xfId="0" applyNumberFormat="1" applyFill="1" applyBorder="1">
      <alignment vertical="center"/>
    </xf>
    <xf numFmtId="0" fontId="9" fillId="3" borderId="0" xfId="49" applyFont="1" applyFill="1" applyBorder="1" applyAlignment="1">
      <alignment horizontal="right" vertical="center"/>
    </xf>
    <xf numFmtId="43" fontId="5" fillId="3" borderId="0" xfId="8" applyNumberFormat="1" applyFont="1" applyFill="1" applyAlignment="1">
      <alignment horizontal="right" vertical="center"/>
    </xf>
    <xf numFmtId="0" fontId="17" fillId="3" borderId="0" xfId="49" applyFont="1" applyFill="1" applyBorder="1" applyAlignment="1">
      <alignment horizontal="right" vertical="center"/>
    </xf>
    <xf numFmtId="176" fontId="17" fillId="3" borderId="0" xfId="49" applyNumberFormat="1" applyFont="1" applyFill="1" applyAlignment="1">
      <alignment horizontal="right" vertical="center"/>
    </xf>
    <xf numFmtId="177" fontId="9" fillId="3" borderId="13" xfId="49" applyNumberFormat="1" applyFont="1" applyFill="1" applyBorder="1" applyAlignment="1">
      <alignment horizontal="center" vertical="center"/>
    </xf>
    <xf numFmtId="177" fontId="9" fillId="3" borderId="12" xfId="49" applyNumberFormat="1" applyFont="1" applyFill="1" applyBorder="1" applyAlignment="1">
      <alignment horizontal="center" vertical="center"/>
    </xf>
    <xf numFmtId="177" fontId="18" fillId="3" borderId="7" xfId="49" applyNumberFormat="1" applyFont="1" applyFill="1" applyBorder="1" applyAlignment="1">
      <alignment horizontal="left" vertical="center"/>
    </xf>
    <xf numFmtId="177" fontId="9" fillId="3" borderId="1" xfId="49" applyNumberFormat="1" applyFont="1" applyFill="1" applyBorder="1" applyAlignment="1">
      <alignment horizontal="center" vertical="center"/>
    </xf>
    <xf numFmtId="176" fontId="9" fillId="3" borderId="1" xfId="49" applyNumberFormat="1" applyFont="1" applyFill="1" applyBorder="1" applyAlignment="1">
      <alignment horizontal="center" vertical="center"/>
    </xf>
    <xf numFmtId="43" fontId="5" fillId="3" borderId="1" xfId="8" applyNumberFormat="1" applyFont="1" applyFill="1" applyBorder="1" applyAlignment="1">
      <alignment horizontal="center" vertical="center"/>
    </xf>
    <xf numFmtId="177" fontId="9" fillId="3" borderId="1" xfId="49" applyNumberFormat="1" applyFont="1" applyFill="1" applyBorder="1" applyAlignment="1">
      <alignment horizontal="left" vertical="center"/>
    </xf>
    <xf numFmtId="177" fontId="9" fillId="3" borderId="7" xfId="49" applyNumberFormat="1" applyFont="1" applyFill="1" applyBorder="1" applyAlignment="1">
      <alignment horizontal="left" vertical="center"/>
    </xf>
    <xf numFmtId="176" fontId="9" fillId="3" borderId="11" xfId="49" applyNumberFormat="1" applyFont="1" applyFill="1" applyBorder="1" applyAlignment="1">
      <alignment horizontal="center" vertical="center"/>
    </xf>
    <xf numFmtId="176" fontId="5" fillId="3" borderId="14" xfId="0" applyNumberFormat="1" applyFont="1" applyFill="1" applyBorder="1" applyAlignment="1">
      <alignment wrapText="1"/>
    </xf>
    <xf numFmtId="176" fontId="5" fillId="3" borderId="11" xfId="0" applyNumberFormat="1" applyFont="1" applyFill="1" applyBorder="1" applyAlignment="1">
      <alignment wrapText="1"/>
    </xf>
    <xf numFmtId="0" fontId="9" fillId="3" borderId="7" xfId="49" applyFont="1" applyFill="1" applyBorder="1" applyAlignment="1" applyProtection="1">
      <alignment horizontal="left" vertical="center" wrapText="1"/>
      <protection locked="0"/>
    </xf>
    <xf numFmtId="177" fontId="18" fillId="3" borderId="1" xfId="49" applyNumberFormat="1" applyFont="1" applyFill="1" applyBorder="1" applyAlignment="1">
      <alignment horizontal="center" vertical="center"/>
    </xf>
    <xf numFmtId="0" fontId="9" fillId="3" borderId="1" xfId="49" applyFont="1" applyFill="1" applyBorder="1" applyAlignment="1" applyProtection="1">
      <alignment vertical="center" wrapText="1"/>
      <protection locked="0"/>
    </xf>
    <xf numFmtId="0" fontId="9" fillId="3" borderId="7" xfId="49" applyFont="1" applyFill="1" applyBorder="1" applyAlignment="1" applyProtection="1">
      <alignment vertical="center" wrapText="1"/>
      <protection locked="0"/>
    </xf>
    <xf numFmtId="177" fontId="18" fillId="3" borderId="1" xfId="49" applyNumberFormat="1" applyFont="1" applyFill="1" applyBorder="1" applyAlignment="1">
      <alignment horizontal="left" vertical="center"/>
    </xf>
    <xf numFmtId="178" fontId="9" fillId="3" borderId="7" xfId="49" applyNumberFormat="1" applyFont="1" applyFill="1" applyBorder="1" applyAlignment="1">
      <alignment horizontal="left" vertical="center"/>
    </xf>
    <xf numFmtId="4" fontId="11" fillId="3" borderId="15" xfId="0" applyNumberFormat="1" applyFont="1" applyFill="1" applyBorder="1" applyAlignment="1">
      <alignment horizontal="right" wrapText="1"/>
    </xf>
    <xf numFmtId="4" fontId="11" fillId="3" borderId="1" xfId="0" applyNumberFormat="1" applyFont="1" applyFill="1" applyBorder="1" applyAlignment="1">
      <alignment horizontal="right" wrapText="1"/>
    </xf>
    <xf numFmtId="177" fontId="18" fillId="3" borderId="7" xfId="49" applyNumberFormat="1" applyFont="1" applyFill="1" applyBorder="1" applyAlignment="1">
      <alignment horizontal="center" vertical="center"/>
    </xf>
    <xf numFmtId="43" fontId="19" fillId="3" borderId="1" xfId="8" applyNumberFormat="1" applyFont="1" applyFill="1" applyBorder="1" applyAlignment="1">
      <alignment horizontal="center" vertical="center"/>
    </xf>
    <xf numFmtId="43" fontId="19" fillId="3" borderId="1" xfId="8" applyNumberFormat="1" applyFont="1" applyFill="1" applyBorder="1" applyAlignment="1">
      <alignment horizontal="right" vertical="center"/>
    </xf>
    <xf numFmtId="0" fontId="5" fillId="3" borderId="1" xfId="49" applyFont="1" applyFill="1" applyBorder="1" applyAlignment="1">
      <alignment horizontal="right" vertical="center"/>
    </xf>
    <xf numFmtId="176" fontId="5" fillId="3" borderId="16" xfId="0" applyNumberFormat="1" applyFont="1" applyFill="1" applyBorder="1" applyAlignment="1">
      <alignment wrapText="1"/>
    </xf>
    <xf numFmtId="176" fontId="5" fillId="3" borderId="17" xfId="0" applyNumberFormat="1" applyFont="1" applyFill="1" applyBorder="1" applyAlignment="1">
      <alignment wrapText="1"/>
    </xf>
    <xf numFmtId="43" fontId="19" fillId="2" borderId="1" xfId="8" applyNumberFormat="1" applyFont="1" applyFill="1" applyBorder="1" applyAlignment="1">
      <alignment horizontal="right" vertical="center"/>
    </xf>
    <xf numFmtId="176" fontId="11" fillId="3" borderId="15" xfId="0" applyNumberFormat="1" applyFont="1" applyFill="1" applyBorder="1" applyAlignment="1">
      <alignment vertical="center" wrapText="1"/>
    </xf>
    <xf numFmtId="176" fontId="11" fillId="3" borderId="1" xfId="0" applyNumberFormat="1" applyFont="1" applyFill="1" applyBorder="1" applyAlignment="1">
      <alignment vertical="center" wrapText="1"/>
    </xf>
    <xf numFmtId="177" fontId="9" fillId="3" borderId="18" xfId="49" applyNumberFormat="1" applyFont="1" applyFill="1" applyBorder="1" applyAlignment="1">
      <alignment horizontal="left" vertical="center"/>
    </xf>
    <xf numFmtId="177" fontId="9" fillId="3" borderId="19" xfId="49" applyNumberFormat="1" applyFont="1" applyFill="1" applyBorder="1" applyAlignment="1">
      <alignment horizontal="center" vertical="center"/>
    </xf>
    <xf numFmtId="176" fontId="11" fillId="3" borderId="20" xfId="0" applyNumberFormat="1" applyFont="1" applyFill="1" applyBorder="1" applyAlignment="1">
      <alignment vertical="center" wrapText="1"/>
    </xf>
    <xf numFmtId="176" fontId="11" fillId="3" borderId="19" xfId="0" applyNumberFormat="1" applyFont="1" applyFill="1" applyBorder="1" applyAlignment="1">
      <alignment vertical="center" wrapText="1"/>
    </xf>
    <xf numFmtId="0" fontId="9" fillId="3" borderId="19" xfId="49" applyFont="1" applyFill="1" applyBorder="1" applyAlignment="1">
      <alignment horizontal="right" vertical="center"/>
    </xf>
    <xf numFmtId="0" fontId="9" fillId="3" borderId="0" xfId="49" applyFont="1" applyFill="1" applyBorder="1" applyAlignment="1">
      <alignment horizontal="left" vertical="center"/>
    </xf>
    <xf numFmtId="43" fontId="20" fillId="3" borderId="1" xfId="0" applyNumberFormat="1" applyFont="1" applyFill="1" applyBorder="1" applyAlignment="1" applyProtection="1">
      <alignment horizontal="center" vertical="center"/>
      <protection locked="0"/>
    </xf>
    <xf numFmtId="43" fontId="20" fillId="3" borderId="0" xfId="0" applyNumberFormat="1" applyFont="1" applyFill="1" applyBorder="1" applyAlignment="1" applyProtection="1">
      <alignment horizontal="center" vertical="center"/>
      <protection locked="0"/>
    </xf>
    <xf numFmtId="176" fontId="18" fillId="3" borderId="11" xfId="49" applyNumberFormat="1" applyFont="1" applyFill="1" applyBorder="1" applyAlignment="1">
      <alignment horizontal="center" vertical="center"/>
    </xf>
    <xf numFmtId="43" fontId="6" fillId="3" borderId="21" xfId="0" applyNumberFormat="1" applyFont="1" applyFill="1" applyBorder="1" applyAlignment="1" applyProtection="1">
      <alignment horizontal="center" vertical="center"/>
      <protection locked="0"/>
    </xf>
    <xf numFmtId="176" fontId="18" fillId="0" borderId="11" xfId="49" applyNumberFormat="1" applyFont="1" applyFill="1" applyBorder="1" applyAlignment="1">
      <alignment horizontal="center" vertical="center"/>
    </xf>
    <xf numFmtId="176" fontId="18" fillId="2" borderId="11" xfId="49" applyNumberFormat="1" applyFont="1" applyFill="1" applyBorder="1" applyAlignment="1">
      <alignment horizontal="center" vertical="center"/>
    </xf>
    <xf numFmtId="43" fontId="9" fillId="3" borderId="11" xfId="8" applyNumberFormat="1" applyFont="1" applyFill="1" applyBorder="1" applyAlignment="1" applyProtection="1">
      <alignment horizontal="right" vertical="center"/>
      <protection locked="0"/>
    </xf>
    <xf numFmtId="43" fontId="5" fillId="3" borderId="11" xfId="8" applyNumberFormat="1" applyFont="1" applyFill="1" applyBorder="1" applyAlignment="1" applyProtection="1">
      <alignment horizontal="right" vertical="center"/>
      <protection locked="0"/>
    </xf>
    <xf numFmtId="176" fontId="18" fillId="3" borderId="1" xfId="49" applyNumberFormat="1" applyFont="1" applyFill="1" applyBorder="1" applyAlignment="1">
      <alignment horizontal="center" vertical="center"/>
    </xf>
    <xf numFmtId="43" fontId="19" fillId="3" borderId="11" xfId="8" applyNumberFormat="1" applyFont="1" applyFill="1" applyBorder="1" applyAlignment="1" applyProtection="1">
      <alignment horizontal="right" vertical="center"/>
      <protection locked="0"/>
    </xf>
    <xf numFmtId="43" fontId="5" fillId="3" borderId="11" xfId="8" applyNumberFormat="1" applyFont="1" applyFill="1" applyBorder="1" applyAlignment="1">
      <alignment horizontal="center" vertical="center"/>
    </xf>
    <xf numFmtId="176" fontId="5" fillId="3" borderId="15" xfId="0" applyNumberFormat="1" applyFont="1" applyFill="1" applyBorder="1" applyAlignment="1">
      <alignment vertical="center" wrapText="1"/>
    </xf>
    <xf numFmtId="43" fontId="19" fillId="3" borderId="11" xfId="8" applyNumberFormat="1" applyFont="1" applyFill="1" applyBorder="1" applyAlignment="1">
      <alignment horizontal="center" vertical="center"/>
    </xf>
    <xf numFmtId="43" fontId="5" fillId="2" borderId="1" xfId="8" applyNumberFormat="1" applyFont="1" applyFill="1" applyBorder="1" applyAlignment="1">
      <alignment horizontal="right" vertical="center"/>
    </xf>
    <xf numFmtId="43" fontId="5" fillId="2" borderId="11" xfId="8" applyNumberFormat="1" applyFont="1" applyFill="1" applyBorder="1" applyAlignment="1">
      <alignment horizontal="center" vertical="center"/>
    </xf>
    <xf numFmtId="176" fontId="9" fillId="0" borderId="1" xfId="49" applyNumberFormat="1" applyFont="1" applyFill="1" applyBorder="1" applyAlignment="1">
      <alignment horizontal="center" vertical="center"/>
    </xf>
    <xf numFmtId="176" fontId="9" fillId="3" borderId="19" xfId="49" applyNumberFormat="1" applyFont="1" applyFill="1" applyBorder="1" applyAlignment="1">
      <alignment horizontal="right" vertical="center"/>
    </xf>
    <xf numFmtId="43" fontId="5" fillId="3" borderId="19" xfId="8" applyNumberFormat="1" applyFont="1" applyFill="1" applyBorder="1" applyAlignment="1">
      <alignment horizontal="right" vertical="center"/>
    </xf>
    <xf numFmtId="43" fontId="5" fillId="3" borderId="22" xfId="8" applyNumberFormat="1" applyFont="1" applyFill="1" applyBorder="1" applyAlignment="1">
      <alignment horizontal="right" vertical="center"/>
    </xf>
    <xf numFmtId="43" fontId="9" fillId="3" borderId="0" xfId="49" applyNumberFormat="1" applyFont="1" applyFill="1" applyBorder="1" applyAlignment="1">
      <alignment horizontal="right" vertical="center"/>
    </xf>
    <xf numFmtId="176" fontId="17" fillId="3" borderId="0" xfId="49" applyNumberFormat="1" applyFont="1" applyFill="1" applyBorder="1" applyAlignment="1">
      <alignment horizontal="right" vertical="center"/>
    </xf>
    <xf numFmtId="43" fontId="5" fillId="3" borderId="0" xfId="8" applyNumberFormat="1" applyFont="1" applyFill="1" applyBorder="1">
      <alignment vertical="center"/>
    </xf>
    <xf numFmtId="43" fontId="9" fillId="3" borderId="23" xfId="8" applyNumberFormat="1" applyFont="1" applyFill="1" applyBorder="1" applyAlignment="1">
      <alignment horizontal="center" vertical="center"/>
    </xf>
    <xf numFmtId="176" fontId="9" fillId="2" borderId="1" xfId="49" applyNumberFormat="1" applyFont="1" applyFill="1" applyBorder="1" applyAlignment="1">
      <alignment horizontal="center" vertical="center"/>
    </xf>
    <xf numFmtId="43" fontId="5" fillId="2" borderId="11" xfId="8" applyNumberFormat="1" applyFont="1" applyFill="1" applyBorder="1" applyAlignment="1" applyProtection="1">
      <alignment horizontal="right" vertical="center"/>
      <protection locked="0"/>
    </xf>
    <xf numFmtId="179" fontId="17" fillId="3" borderId="0" xfId="49" applyNumberFormat="1" applyFont="1" applyFill="1" applyBorder="1" applyAlignment="1">
      <alignment horizontal="right" vertical="center"/>
    </xf>
    <xf numFmtId="0" fontId="9" fillId="3" borderId="0" xfId="0" applyFont="1" applyFill="1" applyBorder="1" applyAlignment="1">
      <alignment horizontal="center" vertical="center"/>
    </xf>
    <xf numFmtId="0" fontId="9" fillId="3" borderId="0" xfId="0" applyFont="1" applyFill="1" applyBorder="1" applyAlignment="1">
      <alignment vertical="center"/>
    </xf>
    <xf numFmtId="43" fontId="11" fillId="3" borderId="0" xfId="8" applyNumberFormat="1" applyFont="1" applyFill="1" applyAlignment="1">
      <alignment vertical="center"/>
    </xf>
    <xf numFmtId="0" fontId="9" fillId="3" borderId="24" xfId="0" applyFont="1" applyFill="1" applyBorder="1" applyAlignment="1">
      <alignment horizontal="center" vertical="center"/>
    </xf>
    <xf numFmtId="0" fontId="9" fillId="3" borderId="5" xfId="0" applyFont="1" applyFill="1" applyBorder="1" applyAlignment="1">
      <alignment horizontal="center" vertical="center"/>
    </xf>
    <xf numFmtId="43" fontId="10" fillId="3" borderId="5" xfId="8" applyNumberFormat="1" applyFont="1" applyFill="1" applyBorder="1" applyAlignment="1">
      <alignment horizontal="center" vertical="center"/>
    </xf>
    <xf numFmtId="0" fontId="12" fillId="3" borderId="7" xfId="0" applyFont="1" applyFill="1" applyBorder="1" applyAlignment="1">
      <alignment vertical="center"/>
    </xf>
    <xf numFmtId="0" fontId="9" fillId="3" borderId="1" xfId="0" applyFont="1" applyFill="1" applyBorder="1" applyAlignment="1">
      <alignment horizontal="center" vertical="center"/>
    </xf>
    <xf numFmtId="43" fontId="11" fillId="3" borderId="1" xfId="8" applyNumberFormat="1" applyFont="1" applyFill="1" applyBorder="1" applyAlignment="1">
      <alignment vertical="center"/>
    </xf>
    <xf numFmtId="0" fontId="10" fillId="3" borderId="25" xfId="0" applyFont="1" applyFill="1" applyBorder="1" applyAlignment="1">
      <alignment horizontal="left" vertical="center"/>
    </xf>
    <xf numFmtId="43" fontId="5" fillId="3" borderId="1" xfId="8" applyNumberFormat="1" applyFont="1" applyFill="1" applyBorder="1" applyAlignment="1">
      <alignment vertical="center"/>
    </xf>
    <xf numFmtId="0" fontId="9" fillId="3" borderId="7" xfId="0" applyFont="1" applyFill="1" applyBorder="1" applyAlignment="1">
      <alignment vertical="center"/>
    </xf>
    <xf numFmtId="4" fontId="6" fillId="3" borderId="0" xfId="0" applyNumberFormat="1" applyFont="1" applyFill="1">
      <alignment vertical="center"/>
    </xf>
    <xf numFmtId="4" fontId="6" fillId="3" borderId="1" xfId="0" applyNumberFormat="1" applyFont="1" applyFill="1" applyBorder="1">
      <alignment vertical="center"/>
    </xf>
    <xf numFmtId="43" fontId="5" fillId="3" borderId="1" xfId="8" applyFont="1" applyFill="1" applyBorder="1" applyAlignment="1">
      <alignment vertical="center"/>
    </xf>
    <xf numFmtId="0" fontId="10" fillId="3" borderId="7" xfId="0" applyFont="1" applyFill="1" applyBorder="1" applyAlignment="1">
      <alignment vertical="center"/>
    </xf>
    <xf numFmtId="0" fontId="9" fillId="3" borderId="2" xfId="0" applyFont="1" applyFill="1" applyBorder="1" applyAlignment="1">
      <alignment horizontal="center" vertical="center"/>
    </xf>
    <xf numFmtId="43" fontId="11" fillId="3" borderId="2" xfId="8" applyNumberFormat="1" applyFont="1" applyFill="1" applyBorder="1" applyAlignment="1">
      <alignment vertical="center"/>
    </xf>
    <xf numFmtId="0" fontId="10" fillId="3" borderId="8" xfId="0" applyFont="1" applyFill="1" applyBorder="1" applyAlignment="1">
      <alignment vertical="center"/>
    </xf>
    <xf numFmtId="0" fontId="9" fillId="3" borderId="9" xfId="0" applyFont="1" applyFill="1" applyBorder="1" applyAlignment="1">
      <alignment horizontal="center" vertical="center"/>
    </xf>
    <xf numFmtId="43" fontId="11" fillId="3" borderId="9" xfId="8" applyNumberFormat="1" applyFont="1" applyFill="1" applyBorder="1" applyAlignment="1">
      <alignment vertical="center"/>
    </xf>
    <xf numFmtId="43" fontId="11" fillId="3" borderId="0" xfId="8" applyNumberFormat="1" applyFont="1" applyFill="1" applyBorder="1" applyAlignment="1">
      <alignment vertical="center"/>
    </xf>
    <xf numFmtId="180" fontId="11" fillId="3" borderId="0" xfId="8" applyNumberFormat="1" applyFont="1" applyFill="1" applyBorder="1" applyAlignment="1">
      <alignment horizontal="center" vertical="center"/>
    </xf>
    <xf numFmtId="43" fontId="21" fillId="3" borderId="1" xfId="8" applyNumberFormat="1" applyFont="1" applyFill="1" applyBorder="1" applyAlignment="1">
      <alignment vertical="center"/>
    </xf>
    <xf numFmtId="43" fontId="10" fillId="3" borderId="10" xfId="8" applyNumberFormat="1" applyFont="1" applyFill="1" applyBorder="1" applyAlignment="1">
      <alignment horizontal="center" vertical="center"/>
    </xf>
    <xf numFmtId="0" fontId="9" fillId="3" borderId="1" xfId="0" applyFont="1" applyFill="1" applyBorder="1" applyAlignment="1">
      <alignment vertical="center"/>
    </xf>
    <xf numFmtId="43" fontId="11" fillId="3" borderId="11" xfId="8" applyNumberFormat="1" applyFont="1" applyFill="1" applyBorder="1" applyAlignment="1">
      <alignment vertical="center"/>
    </xf>
    <xf numFmtId="0" fontId="12" fillId="3" borderId="1" xfId="0" applyFont="1" applyFill="1" applyBorder="1" applyAlignment="1">
      <alignment vertical="center"/>
    </xf>
    <xf numFmtId="43" fontId="5" fillId="3" borderId="11" xfId="8" applyNumberFormat="1" applyFont="1" applyFill="1" applyBorder="1" applyAlignment="1">
      <alignment horizontal="right" vertical="center"/>
    </xf>
    <xf numFmtId="43" fontId="5" fillId="3" borderId="1" xfId="8" applyNumberFormat="1" applyFont="1" applyFill="1" applyBorder="1" applyAlignment="1">
      <alignment horizontal="right" vertical="center"/>
    </xf>
    <xf numFmtId="0" fontId="9"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43" fontId="11" fillId="3" borderId="26" xfId="8" applyNumberFormat="1" applyFont="1" applyFill="1" applyBorder="1" applyAlignment="1">
      <alignment vertical="center"/>
    </xf>
    <xf numFmtId="0" fontId="9" fillId="3" borderId="2" xfId="0" applyFont="1" applyFill="1" applyBorder="1" applyAlignment="1">
      <alignment horizontal="left" vertical="center" wrapText="1"/>
    </xf>
    <xf numFmtId="0" fontId="9" fillId="3" borderId="9" xfId="0" applyFont="1" applyFill="1" applyBorder="1" applyAlignment="1">
      <alignment horizontal="left" vertical="center" wrapText="1"/>
    </xf>
    <xf numFmtId="0" fontId="9" fillId="3" borderId="9" xfId="0" applyFont="1" applyFill="1" applyBorder="1" applyAlignment="1">
      <alignment horizontal="center" vertical="center" wrapText="1"/>
    </xf>
    <xf numFmtId="43" fontId="5" fillId="3" borderId="0" xfId="0" applyNumberFormat="1" applyFont="1" applyFill="1" applyBorder="1" applyAlignment="1">
      <alignment vertical="center"/>
    </xf>
    <xf numFmtId="43" fontId="5" fillId="3" borderId="0" xfId="8" applyFont="1" applyFill="1" applyBorder="1" applyAlignment="1">
      <alignment vertical="center"/>
    </xf>
    <xf numFmtId="43" fontId="11" fillId="3" borderId="27" xfId="8" applyNumberFormat="1" applyFont="1" applyFill="1" applyBorder="1" applyAlignment="1">
      <alignment vertical="center"/>
    </xf>
    <xf numFmtId="0" fontId="22" fillId="3" borderId="0" xfId="0" applyFont="1" applyFill="1" applyBorder="1" applyAlignment="1"/>
    <xf numFmtId="176" fontId="22" fillId="3" borderId="0" xfId="0" applyNumberFormat="1" applyFont="1" applyFill="1" applyBorder="1" applyAlignment="1"/>
    <xf numFmtId="0" fontId="10" fillId="3" borderId="25" xfId="0" applyFont="1" applyFill="1" applyBorder="1" applyAlignment="1">
      <alignment horizontal="center" vertical="center"/>
    </xf>
    <xf numFmtId="0" fontId="12" fillId="3" borderId="25" xfId="0" applyFont="1" applyFill="1" applyBorder="1" applyAlignment="1">
      <alignment horizontal="left" vertical="center"/>
    </xf>
    <xf numFmtId="0" fontId="10" fillId="3" borderId="28" xfId="0" applyFont="1" applyFill="1" applyBorder="1" applyAlignment="1">
      <alignment horizontal="center" vertical="center"/>
    </xf>
    <xf numFmtId="0" fontId="10" fillId="3" borderId="29" xfId="0" applyFont="1" applyFill="1" applyBorder="1" applyAlignment="1">
      <alignment horizontal="center" vertical="center"/>
    </xf>
    <xf numFmtId="176" fontId="10" fillId="3" borderId="30" xfId="0" applyNumberFormat="1" applyFont="1" applyFill="1" applyBorder="1" applyAlignment="1">
      <alignment horizontal="right" vertical="center"/>
    </xf>
    <xf numFmtId="176" fontId="10" fillId="3" borderId="31" xfId="0" applyNumberFormat="1" applyFont="1" applyFill="1" applyBorder="1" applyAlignment="1">
      <alignment horizontal="right" vertical="center"/>
    </xf>
    <xf numFmtId="176" fontId="10" fillId="3" borderId="31" xfId="0" applyNumberFormat="1" applyFont="1" applyFill="1" applyBorder="1" applyAlignment="1">
      <alignment horizontal="center" vertical="center"/>
    </xf>
    <xf numFmtId="176" fontId="9" fillId="3" borderId="31" xfId="0" applyNumberFormat="1" applyFont="1" applyFill="1" applyBorder="1" applyAlignment="1">
      <alignment horizontal="right" vertical="center"/>
    </xf>
    <xf numFmtId="176" fontId="23" fillId="3" borderId="31" xfId="0" applyNumberFormat="1" applyFont="1" applyFill="1" applyBorder="1" applyAlignment="1">
      <alignment horizontal="right" vertical="center"/>
    </xf>
    <xf numFmtId="176" fontId="24" fillId="3" borderId="31" xfId="0" applyNumberFormat="1" applyFont="1" applyFill="1" applyBorder="1" applyAlignment="1">
      <alignment horizontal="right" vertical="center"/>
    </xf>
    <xf numFmtId="176" fontId="10" fillId="3" borderId="32" xfId="0" applyNumberFormat="1" applyFont="1" applyFill="1" applyBorder="1" applyAlignment="1">
      <alignment horizontal="right" vertical="center"/>
    </xf>
    <xf numFmtId="176" fontId="10" fillId="3" borderId="0" xfId="0" applyNumberFormat="1" applyFont="1" applyFill="1" applyBorder="1" applyAlignment="1">
      <alignment horizontal="right" vertical="center"/>
    </xf>
    <xf numFmtId="0" fontId="22" fillId="3" borderId="1" xfId="0" applyFont="1" applyFill="1" applyBorder="1" applyAlignment="1"/>
    <xf numFmtId="176" fontId="10" fillId="3" borderId="33" xfId="0" applyNumberFormat="1" applyFont="1" applyFill="1" applyBorder="1" applyAlignment="1">
      <alignment horizontal="right" vertical="center"/>
    </xf>
    <xf numFmtId="0" fontId="12" fillId="3" borderId="25" xfId="0" applyFont="1" applyFill="1" applyBorder="1" applyAlignment="1">
      <alignment horizontal="center" vertical="center"/>
    </xf>
    <xf numFmtId="0" fontId="10" fillId="3" borderId="31" xfId="0" applyFont="1" applyFill="1" applyBorder="1" applyAlignment="1">
      <alignment horizontal="center" vertical="center"/>
    </xf>
    <xf numFmtId="0" fontId="10" fillId="3" borderId="31" xfId="0" applyFont="1" applyFill="1" applyBorder="1" applyAlignment="1">
      <alignment horizontal="left" vertical="center"/>
    </xf>
    <xf numFmtId="0" fontId="10" fillId="3" borderId="34" xfId="0" applyFont="1" applyFill="1" applyBorder="1" applyAlignment="1">
      <alignment horizontal="center" vertical="center"/>
    </xf>
    <xf numFmtId="0" fontId="10" fillId="3" borderId="35" xfId="0" applyFont="1" applyFill="1" applyBorder="1" applyAlignment="1">
      <alignment horizontal="center" vertical="center"/>
    </xf>
    <xf numFmtId="0" fontId="10" fillId="3" borderId="36" xfId="0" applyFont="1" applyFill="1" applyBorder="1" applyAlignment="1">
      <alignment horizontal="center" vertical="center"/>
    </xf>
    <xf numFmtId="176" fontId="10" fillId="3" borderId="37" xfId="0" applyNumberFormat="1" applyFont="1" applyFill="1" applyBorder="1" applyAlignment="1">
      <alignment horizontal="right" vertical="center"/>
    </xf>
    <xf numFmtId="176" fontId="10" fillId="3" borderId="14" xfId="0" applyNumberFormat="1" applyFont="1" applyFill="1" applyBorder="1" applyAlignment="1">
      <alignment horizontal="right" vertical="center"/>
    </xf>
    <xf numFmtId="176" fontId="9" fillId="3" borderId="37" xfId="0" applyNumberFormat="1" applyFont="1" applyFill="1" applyBorder="1" applyAlignment="1">
      <alignment horizontal="right" vertical="center"/>
    </xf>
    <xf numFmtId="0" fontId="10" fillId="3" borderId="37" xfId="0" applyFont="1" applyFill="1" applyBorder="1" applyAlignment="1">
      <alignment horizontal="center" vertical="center"/>
    </xf>
    <xf numFmtId="0" fontId="10" fillId="3" borderId="14" xfId="0" applyFont="1" applyFill="1" applyBorder="1" applyAlignment="1">
      <alignment horizontal="center" vertical="center"/>
    </xf>
    <xf numFmtId="0" fontId="12" fillId="3" borderId="38" xfId="0" applyFont="1" applyFill="1" applyBorder="1" applyAlignment="1">
      <alignment horizontal="center" vertical="center"/>
    </xf>
    <xf numFmtId="0" fontId="10" fillId="3" borderId="38" xfId="0" applyFont="1" applyFill="1" applyBorder="1" applyAlignment="1">
      <alignment horizontal="center" vertical="center"/>
    </xf>
    <xf numFmtId="176" fontId="10" fillId="3" borderId="39" xfId="0" applyNumberFormat="1" applyFont="1" applyFill="1" applyBorder="1" applyAlignment="1">
      <alignment horizontal="right" vertical="center"/>
    </xf>
    <xf numFmtId="0" fontId="10" fillId="3" borderId="40" xfId="0" applyFont="1" applyFill="1" applyBorder="1" applyAlignment="1">
      <alignment horizontal="left" vertical="center"/>
    </xf>
    <xf numFmtId="0" fontId="25" fillId="3" borderId="41" xfId="0" applyFont="1" applyFill="1" applyBorder="1" applyAlignment="1">
      <alignment vertical="center"/>
    </xf>
    <xf numFmtId="0" fontId="25" fillId="3" borderId="42" xfId="0" applyFont="1" applyFill="1" applyBorder="1" applyAlignment="1">
      <alignment vertical="center"/>
    </xf>
    <xf numFmtId="176" fontId="10" fillId="3" borderId="43" xfId="0" applyNumberFormat="1" applyFont="1" applyFill="1" applyBorder="1" applyAlignment="1">
      <alignment horizontal="right" vertical="center"/>
    </xf>
    <xf numFmtId="0" fontId="25" fillId="3" borderId="44" xfId="0" applyFont="1" applyFill="1" applyBorder="1" applyAlignment="1">
      <alignment vertical="center"/>
    </xf>
    <xf numFmtId="0" fontId="26" fillId="3" borderId="0" xfId="0" applyFont="1" applyFill="1" applyBorder="1" applyAlignment="1"/>
    <xf numFmtId="177" fontId="22" fillId="3" borderId="0" xfId="0" applyNumberFormat="1" applyFont="1" applyFill="1" applyBorder="1" applyAlignment="1"/>
    <xf numFmtId="176" fontId="10" fillId="3" borderId="45" xfId="0" applyNumberFormat="1" applyFont="1" applyFill="1" applyBorder="1" applyAlignment="1">
      <alignment horizontal="right" vertical="center"/>
    </xf>
    <xf numFmtId="0" fontId="27" fillId="3" borderId="0" xfId="0" applyFont="1" applyFill="1" applyBorder="1" applyAlignment="1">
      <alignment vertical="center"/>
    </xf>
    <xf numFmtId="0" fontId="16" fillId="3" borderId="0" xfId="0" applyFont="1" applyFill="1" applyBorder="1" applyAlignment="1">
      <alignment vertical="center"/>
    </xf>
    <xf numFmtId="0" fontId="16" fillId="3" borderId="0" xfId="0" applyFont="1" applyFill="1" applyBorder="1" applyAlignment="1">
      <alignment horizontal="center" vertical="center"/>
    </xf>
    <xf numFmtId="0" fontId="16" fillId="3" borderId="0" xfId="0" applyFont="1" applyFill="1" applyAlignment="1">
      <alignment horizontal="left" vertical="center" shrinkToFit="1"/>
    </xf>
    <xf numFmtId="176" fontId="16" fillId="3" borderId="0" xfId="0" applyNumberFormat="1" applyFont="1" applyFill="1" applyBorder="1" applyAlignment="1">
      <alignment horizontal="center" vertical="center"/>
    </xf>
    <xf numFmtId="176" fontId="16" fillId="3" borderId="0" xfId="0" applyNumberFormat="1" applyFont="1" applyFill="1" applyBorder="1" applyAlignment="1">
      <alignment horizontal="left" vertical="center"/>
    </xf>
    <xf numFmtId="176" fontId="11" fillId="0" borderId="1" xfId="0" applyNumberFormat="1" applyFont="1" applyFill="1" applyBorder="1" applyAlignment="1">
      <alignment horizontal="right" vertical="center"/>
    </xf>
    <xf numFmtId="176" fontId="11" fillId="3" borderId="1" xfId="0" applyNumberFormat="1" applyFont="1" applyFill="1" applyBorder="1" applyAlignment="1">
      <alignment horizontal="center" vertical="center"/>
    </xf>
    <xf numFmtId="176" fontId="5" fillId="3" borderId="1" xfId="8" applyNumberFormat="1" applyFont="1" applyFill="1" applyBorder="1" applyAlignment="1">
      <alignment horizontal="center" vertical="center"/>
    </xf>
    <xf numFmtId="176" fontId="16" fillId="3" borderId="0" xfId="0" applyNumberFormat="1" applyFont="1" applyFill="1" applyBorder="1" applyAlignment="1">
      <alignment horizontal="right" vertical="center"/>
    </xf>
    <xf numFmtId="176" fontId="16" fillId="3" borderId="0" xfId="0" applyNumberFormat="1" applyFont="1" applyFill="1" applyBorder="1" applyAlignment="1">
      <alignment vertical="center"/>
    </xf>
    <xf numFmtId="0" fontId="16" fillId="3" borderId="0" xfId="0" applyFont="1" applyFill="1" applyBorder="1" applyAlignment="1">
      <alignment horizontal="right" vertical="center"/>
    </xf>
    <xf numFmtId="0" fontId="28" fillId="3" borderId="0" xfId="0" applyFont="1" applyFill="1" applyAlignment="1">
      <alignment horizontal="center" vertical="center"/>
    </xf>
    <xf numFmtId="0" fontId="18" fillId="3" borderId="0" xfId="50" applyFont="1" applyFill="1" applyBorder="1" applyAlignment="1">
      <alignment horizontal="left" vertical="center"/>
    </xf>
    <xf numFmtId="0" fontId="18" fillId="3" borderId="0" xfId="49" applyFont="1" applyFill="1" applyBorder="1" applyAlignment="1">
      <alignment horizontal="center" vertical="center"/>
    </xf>
    <xf numFmtId="0" fontId="18" fillId="3" borderId="0" xfId="0" applyFont="1" applyFill="1" applyBorder="1" applyAlignment="1">
      <alignment horizontal="left" vertical="center"/>
    </xf>
    <xf numFmtId="0" fontId="19" fillId="3" borderId="0" xfId="0" applyFont="1" applyFill="1" applyBorder="1" applyAlignment="1">
      <alignment horizontal="left" vertical="center"/>
    </xf>
    <xf numFmtId="0" fontId="9" fillId="3" borderId="1" xfId="49" applyFont="1" applyFill="1" applyBorder="1" applyAlignment="1" applyProtection="1">
      <alignment horizontal="left" vertical="center" wrapText="1"/>
      <protection locked="0"/>
    </xf>
    <xf numFmtId="177" fontId="0" fillId="3" borderId="0" xfId="0" applyNumberFormat="1" applyFill="1">
      <alignment vertical="center"/>
    </xf>
    <xf numFmtId="176" fontId="13" fillId="3" borderId="1" xfId="0" applyNumberFormat="1" applyFont="1" applyFill="1" applyBorder="1" applyAlignment="1">
      <alignment horizontal="left" vertical="center" wrapText="1"/>
    </xf>
    <xf numFmtId="0" fontId="11" fillId="3" borderId="1" xfId="0" applyNumberFormat="1" applyFont="1" applyFill="1" applyBorder="1" applyAlignment="1">
      <alignment horizontal="center" vertical="center" wrapText="1"/>
    </xf>
    <xf numFmtId="176" fontId="11" fillId="2" borderId="1" xfId="0" applyNumberFormat="1" applyFont="1" applyFill="1" applyBorder="1" applyAlignment="1">
      <alignment vertical="center" wrapText="1"/>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29" fillId="3" borderId="0" xfId="49" applyFont="1" applyFill="1" applyBorder="1" applyAlignment="1">
      <alignment horizontal="right" vertical="center"/>
    </xf>
    <xf numFmtId="0" fontId="17" fillId="3" borderId="0" xfId="49" applyFont="1" applyFill="1" applyBorder="1" applyAlignment="1">
      <alignment horizontal="right" vertical="center" wrapText="1"/>
    </xf>
    <xf numFmtId="0" fontId="30" fillId="3" borderId="0" xfId="0" applyFont="1" applyFill="1" applyAlignment="1">
      <alignment horizontal="center" vertical="center" wrapText="1"/>
    </xf>
    <xf numFmtId="0" fontId="30" fillId="3" borderId="0" xfId="0" applyFont="1" applyFill="1" applyAlignment="1">
      <alignment horizontal="center" vertical="center"/>
    </xf>
    <xf numFmtId="0" fontId="9" fillId="3" borderId="0" xfId="49" applyFont="1" applyFill="1" applyBorder="1" applyAlignment="1">
      <alignment horizontal="right" vertical="center" wrapText="1"/>
    </xf>
    <xf numFmtId="0" fontId="9" fillId="3" borderId="0" xfId="0" applyFont="1" applyFill="1" applyBorder="1" applyAlignment="1">
      <alignment horizontal="right" vertical="center"/>
    </xf>
    <xf numFmtId="0" fontId="5" fillId="3" borderId="0" xfId="0" applyFont="1" applyFill="1" applyBorder="1" applyAlignment="1">
      <alignment horizontal="right" vertical="center"/>
    </xf>
    <xf numFmtId="0" fontId="18" fillId="3" borderId="0" xfId="50" applyFont="1" applyFill="1" applyAlignment="1">
      <alignment horizontal="left" vertical="center" wrapText="1"/>
    </xf>
    <xf numFmtId="0" fontId="18" fillId="3" borderId="0" xfId="49" applyFont="1" applyFill="1" applyBorder="1" applyAlignment="1">
      <alignment horizontal="left" vertical="center" wrapText="1"/>
    </xf>
    <xf numFmtId="0" fontId="18" fillId="3" borderId="0" xfId="49" applyFont="1" applyFill="1" applyBorder="1" applyAlignment="1">
      <alignment horizontal="right" vertical="center"/>
    </xf>
    <xf numFmtId="0" fontId="18" fillId="3" borderId="0" xfId="0" applyFont="1" applyFill="1" applyBorder="1" applyAlignment="1">
      <alignment horizontal="right" vertical="center"/>
    </xf>
    <xf numFmtId="0" fontId="19" fillId="3" borderId="0" xfId="0" applyFont="1" applyFill="1" applyBorder="1" applyAlignment="1">
      <alignment horizontal="right" vertical="center"/>
    </xf>
    <xf numFmtId="177" fontId="9" fillId="3" borderId="1" xfId="49" applyNumberFormat="1" applyFont="1" applyFill="1" applyBorder="1" applyAlignment="1">
      <alignment horizontal="center" vertical="center" wrapText="1"/>
    </xf>
    <xf numFmtId="43" fontId="9" fillId="3" borderId="1" xfId="8" applyNumberFormat="1" applyFont="1" applyFill="1" applyBorder="1" applyAlignment="1">
      <alignment horizontal="center" vertical="center"/>
    </xf>
    <xf numFmtId="177" fontId="31" fillId="3" borderId="1" xfId="49" applyNumberFormat="1" applyFont="1" applyFill="1" applyBorder="1" applyAlignment="1">
      <alignment horizontal="left" vertical="center" wrapText="1"/>
    </xf>
    <xf numFmtId="177" fontId="26" fillId="3" borderId="1" xfId="49" applyNumberFormat="1" applyFont="1" applyFill="1" applyBorder="1" applyAlignment="1">
      <alignment horizontal="center" vertical="center"/>
    </xf>
    <xf numFmtId="43" fontId="26" fillId="3" borderId="1" xfId="8" applyNumberFormat="1" applyFont="1" applyFill="1" applyBorder="1" applyAlignment="1">
      <alignment horizontal="center" vertical="center"/>
    </xf>
    <xf numFmtId="177" fontId="26" fillId="3" borderId="1" xfId="49" applyNumberFormat="1" applyFont="1" applyFill="1" applyBorder="1" applyAlignment="1">
      <alignment horizontal="left" vertical="center" wrapText="1"/>
    </xf>
    <xf numFmtId="43" fontId="26" fillId="3" borderId="1" xfId="8" applyNumberFormat="1" applyFont="1" applyFill="1" applyBorder="1" applyAlignment="1" applyProtection="1">
      <alignment horizontal="right" vertical="center"/>
      <protection locked="0"/>
    </xf>
    <xf numFmtId="176" fontId="26" fillId="3" borderId="1" xfId="0" applyNumberFormat="1" applyFont="1" applyFill="1" applyBorder="1" applyAlignment="1">
      <alignment wrapText="1"/>
    </xf>
    <xf numFmtId="0" fontId="26" fillId="3" borderId="1" xfId="49" applyFont="1" applyFill="1" applyBorder="1" applyAlignment="1" applyProtection="1">
      <alignment horizontal="left" vertical="center" wrapText="1"/>
      <protection locked="0"/>
    </xf>
    <xf numFmtId="43" fontId="26" fillId="3" borderId="1" xfId="8" applyNumberFormat="1" applyFont="1" applyFill="1" applyBorder="1" applyAlignment="1" applyProtection="1">
      <alignment horizontal="right" vertical="center"/>
    </xf>
    <xf numFmtId="176" fontId="32" fillId="3" borderId="1" xfId="0" applyNumberFormat="1" applyFont="1" applyFill="1" applyBorder="1" applyAlignment="1">
      <alignment vertical="center" wrapText="1"/>
    </xf>
    <xf numFmtId="177" fontId="31" fillId="3" borderId="1" xfId="49" applyNumberFormat="1" applyFont="1" applyFill="1" applyBorder="1" applyAlignment="1">
      <alignment horizontal="center" vertical="center" wrapText="1"/>
    </xf>
    <xf numFmtId="43" fontId="26" fillId="3" borderId="1" xfId="8" applyNumberFormat="1" applyFont="1" applyFill="1" applyBorder="1" applyAlignment="1">
      <alignment horizontal="right" vertical="center"/>
    </xf>
    <xf numFmtId="0" fontId="26" fillId="3" borderId="1" xfId="49" applyFont="1" applyFill="1" applyBorder="1" applyAlignment="1" applyProtection="1">
      <alignment vertical="center" wrapText="1"/>
      <protection locked="0"/>
    </xf>
    <xf numFmtId="178" fontId="26" fillId="3" borderId="1" xfId="49" applyNumberFormat="1" applyFont="1" applyFill="1" applyBorder="1" applyAlignment="1">
      <alignment horizontal="left" vertical="center" wrapText="1"/>
    </xf>
    <xf numFmtId="4" fontId="32" fillId="3" borderId="1" xfId="0" applyNumberFormat="1" applyFont="1" applyFill="1" applyBorder="1" applyAlignment="1">
      <alignment horizontal="right" wrapText="1"/>
    </xf>
    <xf numFmtId="176" fontId="26" fillId="3" borderId="1" xfId="0" applyNumberFormat="1" applyFont="1" applyFill="1" applyBorder="1" applyAlignment="1">
      <alignment vertical="center" wrapText="1"/>
    </xf>
    <xf numFmtId="0" fontId="26" fillId="3" borderId="1" xfId="49" applyFont="1" applyFill="1" applyBorder="1" applyAlignment="1">
      <alignment horizontal="right" vertical="center"/>
    </xf>
    <xf numFmtId="43" fontId="26" fillId="2" borderId="1" xfId="8" applyNumberFormat="1" applyFont="1" applyFill="1" applyBorder="1" applyAlignment="1">
      <alignment horizontal="right" vertical="center"/>
    </xf>
    <xf numFmtId="0" fontId="26" fillId="3" borderId="1" xfId="49" applyFont="1" applyFill="1" applyBorder="1" applyAlignment="1">
      <alignment horizontal="right" vertical="center" wrapText="1"/>
    </xf>
    <xf numFmtId="0" fontId="9" fillId="3" borderId="0" xfId="49" applyFont="1" applyFill="1" applyBorder="1" applyAlignment="1">
      <alignment horizontal="left" vertical="center" wrapText="1"/>
    </xf>
    <xf numFmtId="43" fontId="9" fillId="3" borderId="0" xfId="8" applyNumberFormat="1" applyFont="1" applyFill="1" applyAlignment="1">
      <alignment horizontal="right" vertical="center"/>
    </xf>
    <xf numFmtId="43" fontId="5" fillId="3" borderId="0" xfId="8" applyNumberFormat="1" applyFont="1" applyFill="1" applyBorder="1" applyAlignment="1" applyProtection="1">
      <alignment horizontal="right" vertical="center"/>
      <protection locked="0"/>
    </xf>
    <xf numFmtId="43" fontId="5" fillId="3" borderId="0" xfId="8" applyNumberFormat="1" applyFont="1" applyFill="1" applyBorder="1" applyAlignment="1">
      <alignment horizontal="right" vertical="center"/>
    </xf>
    <xf numFmtId="0" fontId="31" fillId="3" borderId="0" xfId="0" applyFont="1" applyFill="1" applyBorder="1" applyAlignment="1">
      <alignment vertical="center"/>
    </xf>
    <xf numFmtId="0" fontId="9" fillId="3" borderId="0" xfId="0" applyFont="1" applyFill="1" applyBorder="1" applyAlignment="1">
      <alignment vertical="center" wrapText="1"/>
    </xf>
    <xf numFmtId="0" fontId="9" fillId="3" borderId="0" xfId="0" applyFont="1" applyFill="1" applyBorder="1" applyAlignment="1">
      <alignment horizontal="center" vertical="center" wrapText="1"/>
    </xf>
    <xf numFmtId="43" fontId="11" fillId="3" borderId="0" xfId="8" applyNumberFormat="1" applyFont="1" applyFill="1" applyBorder="1" applyAlignment="1">
      <alignment horizontal="center" vertical="center"/>
    </xf>
    <xf numFmtId="43" fontId="10" fillId="3" borderId="0" xfId="8" applyNumberFormat="1" applyFont="1" applyFill="1" applyBorder="1" applyAlignment="1">
      <alignment horizontal="right" vertical="center"/>
    </xf>
    <xf numFmtId="43" fontId="11" fillId="3" borderId="0" xfId="8" applyNumberFormat="1" applyFont="1" applyFill="1" applyBorder="1" applyAlignment="1">
      <alignment horizontal="right" vertical="center"/>
    </xf>
    <xf numFmtId="0" fontId="31" fillId="3" borderId="0" xfId="50" applyFont="1" applyFill="1" applyAlignment="1">
      <alignment horizontal="center" vertical="center" wrapText="1"/>
    </xf>
    <xf numFmtId="31" fontId="31" fillId="3" borderId="0" xfId="0" applyNumberFormat="1" applyFont="1" applyFill="1" applyBorder="1" applyAlignment="1">
      <alignment horizontal="center" vertical="center"/>
    </xf>
    <xf numFmtId="31" fontId="31" fillId="3" borderId="0" xfId="0" applyNumberFormat="1" applyFont="1" applyFill="1" applyBorder="1" applyAlignment="1">
      <alignment horizontal="center" vertical="center" wrapText="1"/>
    </xf>
    <xf numFmtId="0" fontId="31" fillId="3" borderId="0" xfId="0" applyFont="1" applyFill="1" applyBorder="1" applyAlignment="1">
      <alignment horizontal="center" vertical="center"/>
    </xf>
    <xf numFmtId="43" fontId="33" fillId="3" borderId="0" xfId="8" applyNumberFormat="1" applyFont="1" applyFill="1" applyBorder="1" applyAlignment="1">
      <alignment horizontal="right" vertical="center"/>
    </xf>
    <xf numFmtId="43" fontId="34" fillId="3" borderId="0" xfId="8" applyNumberFormat="1" applyFont="1" applyFill="1" applyBorder="1" applyAlignment="1">
      <alignment horizontal="right" vertical="center"/>
    </xf>
    <xf numFmtId="0" fontId="9" fillId="3" borderId="1" xfId="0" applyFont="1" applyFill="1" applyBorder="1" applyAlignment="1">
      <alignment horizontal="center" vertical="center" wrapText="1"/>
    </xf>
    <xf numFmtId="43" fontId="10" fillId="3" borderId="1" xfId="8" applyNumberFormat="1" applyFont="1" applyFill="1" applyBorder="1" applyAlignment="1">
      <alignment horizontal="center" vertical="center"/>
    </xf>
    <xf numFmtId="0" fontId="12" fillId="3" borderId="1" xfId="0" applyFont="1" applyFill="1" applyBorder="1" applyAlignment="1">
      <alignment vertical="center" wrapText="1"/>
    </xf>
    <xf numFmtId="0" fontId="9" fillId="3" borderId="1" xfId="0" applyFont="1" applyFill="1" applyBorder="1" applyAlignment="1">
      <alignment vertical="center" wrapText="1"/>
    </xf>
    <xf numFmtId="0" fontId="10" fillId="3" borderId="1" xfId="0" applyFont="1" applyFill="1" applyBorder="1" applyAlignment="1">
      <alignment vertical="center" wrapText="1"/>
    </xf>
    <xf numFmtId="0" fontId="9" fillId="3" borderId="0" xfId="0" applyFont="1" applyFill="1" applyAlignment="1">
      <alignment vertical="center" wrapText="1"/>
    </xf>
    <xf numFmtId="43" fontId="35" fillId="3" borderId="0" xfId="8" applyNumberFormat="1" applyFont="1" applyFill="1" applyBorder="1" applyAlignment="1">
      <alignment vertical="center"/>
    </xf>
    <xf numFmtId="0" fontId="20" fillId="3" borderId="0" xfId="0" applyFont="1" applyFill="1" applyBorder="1" applyAlignment="1">
      <alignment vertical="center"/>
    </xf>
    <xf numFmtId="0" fontId="22" fillId="3" borderId="0" xfId="0" applyFont="1" applyFill="1" applyBorder="1" applyAlignment="1">
      <alignment wrapText="1"/>
    </xf>
    <xf numFmtId="0" fontId="36" fillId="3" borderId="0" xfId="0" applyFont="1" applyFill="1" applyAlignment="1">
      <alignment horizontal="center" vertical="center" wrapText="1"/>
    </xf>
    <xf numFmtId="0" fontId="37" fillId="3" borderId="0" xfId="0" applyFont="1" applyFill="1" applyBorder="1" applyAlignment="1">
      <alignment horizontal="center" vertical="center" wrapText="1"/>
    </xf>
    <xf numFmtId="0" fontId="26" fillId="3" borderId="0" xfId="0" applyFont="1" applyFill="1" applyBorder="1" applyAlignment="1">
      <alignment horizontal="center" vertical="center"/>
    </xf>
    <xf numFmtId="0" fontId="26" fillId="3" borderId="0" xfId="0" applyFont="1" applyFill="1" applyBorder="1" applyAlignment="1">
      <alignment horizontal="left" vertical="center"/>
    </xf>
    <xf numFmtId="43" fontId="10" fillId="3" borderId="0" xfId="8" applyNumberFormat="1" applyFont="1" applyFill="1" applyBorder="1" applyAlignment="1">
      <alignment vertical="center"/>
    </xf>
    <xf numFmtId="31" fontId="26" fillId="3" borderId="0"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1" xfId="0" applyFont="1" applyFill="1" applyBorder="1" applyAlignment="1">
      <alignment horizontal="left" vertical="center" wrapText="1"/>
    </xf>
    <xf numFmtId="176" fontId="10" fillId="3" borderId="1" xfId="0" applyNumberFormat="1" applyFont="1" applyFill="1" applyBorder="1" applyAlignment="1">
      <alignment horizontal="right" vertical="center"/>
    </xf>
    <xf numFmtId="176" fontId="23" fillId="3" borderId="1" xfId="0" applyNumberFormat="1" applyFont="1" applyFill="1" applyBorder="1" applyAlignment="1">
      <alignment horizontal="right" vertical="center"/>
    </xf>
    <xf numFmtId="0" fontId="12" fillId="3" borderId="1" xfId="0" applyFont="1" applyFill="1" applyBorder="1" applyAlignment="1">
      <alignment horizontal="center" vertical="center" wrapText="1"/>
    </xf>
    <xf numFmtId="0" fontId="10" fillId="3" borderId="1" xfId="0" applyFont="1" applyFill="1" applyBorder="1" applyAlignment="1">
      <alignment horizontal="left" vertical="center"/>
    </xf>
    <xf numFmtId="0" fontId="10" fillId="3" borderId="0" xfId="0" applyFont="1" applyFill="1" applyBorder="1" applyAlignment="1">
      <alignment horizontal="left" vertical="center" wrapText="1"/>
    </xf>
    <xf numFmtId="0" fontId="25" fillId="3" borderId="0" xfId="0" applyFont="1" applyFill="1" applyBorder="1" applyAlignment="1">
      <alignment vertical="center"/>
    </xf>
    <xf numFmtId="0" fontId="25" fillId="3" borderId="0" xfId="0" applyFont="1" applyFill="1" applyBorder="1" applyAlignment="1">
      <alignment vertical="center" wrapText="1"/>
    </xf>
    <xf numFmtId="0" fontId="26" fillId="3" borderId="0" xfId="0" applyFont="1" applyFill="1" applyBorder="1" applyAlignment="1">
      <alignment wrapText="1"/>
    </xf>
    <xf numFmtId="176" fontId="22" fillId="2" borderId="0" xfId="0" applyNumberFormat="1" applyFont="1" applyFill="1" applyBorder="1" applyAlignment="1"/>
    <xf numFmtId="177" fontId="9" fillId="3" borderId="1" xfId="49" applyNumberFormat="1" applyFont="1" applyFill="1" applyBorder="1" applyAlignment="1" quotePrefix="1">
      <alignment horizontal="center" vertical="center" wrapText="1"/>
    </xf>
    <xf numFmtId="177" fontId="9" fillId="3" borderId="1" xfId="49" applyNumberFormat="1" applyFont="1" applyFill="1" applyBorder="1" applyAlignment="1" quotePrefix="1">
      <alignment horizontal="center" vertical="center"/>
    </xf>
    <xf numFmtId="43" fontId="9" fillId="3" borderId="1" xfId="8" applyNumberFormat="1" applyFont="1" applyFill="1" applyBorder="1" applyAlignment="1" quotePrefix="1">
      <alignment horizontal="center" vertical="center"/>
    </xf>
    <xf numFmtId="177" fontId="31" fillId="3" borderId="1" xfId="49" applyNumberFormat="1" applyFont="1" applyFill="1" applyBorder="1" applyAlignment="1" quotePrefix="1">
      <alignment horizontal="left" vertical="center" wrapText="1"/>
    </xf>
    <xf numFmtId="177" fontId="26" fillId="3" borderId="1" xfId="49" applyNumberFormat="1" applyFont="1" applyFill="1" applyBorder="1" applyAlignment="1" quotePrefix="1">
      <alignment horizontal="center" vertical="center"/>
    </xf>
    <xf numFmtId="43" fontId="26" fillId="3" borderId="1" xfId="8" applyNumberFormat="1" applyFont="1" applyFill="1" applyBorder="1" applyAlignment="1" quotePrefix="1">
      <alignment horizontal="center" vertical="center"/>
    </xf>
    <xf numFmtId="177" fontId="26" fillId="3" borderId="1" xfId="49" applyNumberFormat="1" applyFont="1" applyFill="1" applyBorder="1" applyAlignment="1" quotePrefix="1">
      <alignment horizontal="left" vertical="center" wrapText="1"/>
    </xf>
    <xf numFmtId="177" fontId="31" fillId="3" borderId="1" xfId="49" applyNumberFormat="1" applyFont="1" applyFill="1" applyBorder="1" applyAlignment="1" quotePrefix="1">
      <alignment horizontal="center" vertical="center" wrapText="1"/>
    </xf>
    <xf numFmtId="178" fontId="26" fillId="3" borderId="1" xfId="49" applyNumberFormat="1" applyFont="1" applyFill="1" applyBorder="1" applyAlignment="1" quotePrefix="1">
      <alignment horizontal="left" vertical="center" wrapText="1"/>
    </xf>
    <xf numFmtId="176" fontId="9" fillId="3" borderId="1" xfId="49" applyNumberFormat="1" applyFont="1" applyFill="1" applyBorder="1" applyAlignment="1" quotePrefix="1">
      <alignment horizontal="center" vertical="center"/>
    </xf>
    <xf numFmtId="177" fontId="9" fillId="3" borderId="13" xfId="49" applyNumberFormat="1" applyFont="1" applyFill="1" applyBorder="1" applyAlignment="1" quotePrefix="1">
      <alignment horizontal="center" vertical="center"/>
    </xf>
    <xf numFmtId="177" fontId="9" fillId="3" borderId="12" xfId="49" applyNumberFormat="1" applyFont="1" applyFill="1" applyBorder="1" applyAlignment="1" quotePrefix="1">
      <alignment horizontal="center" vertical="center"/>
    </xf>
    <xf numFmtId="177" fontId="18" fillId="3" borderId="7" xfId="49" applyNumberFormat="1" applyFont="1" applyFill="1" applyBorder="1" applyAlignment="1" quotePrefix="1">
      <alignment horizontal="left" vertical="center"/>
    </xf>
    <xf numFmtId="43" fontId="5" fillId="3" borderId="1" xfId="8" applyNumberFormat="1" applyFont="1" applyFill="1" applyBorder="1" applyAlignment="1" quotePrefix="1">
      <alignment horizontal="center" vertical="center"/>
    </xf>
    <xf numFmtId="177" fontId="9" fillId="3" borderId="7" xfId="49" applyNumberFormat="1" applyFont="1" applyFill="1" applyBorder="1" applyAlignment="1" quotePrefix="1">
      <alignment horizontal="left" vertical="center"/>
    </xf>
    <xf numFmtId="177" fontId="9" fillId="3" borderId="1" xfId="49" applyNumberFormat="1" applyFont="1" applyFill="1" applyBorder="1" applyAlignment="1" quotePrefix="1">
      <alignment horizontal="left" vertical="center"/>
    </xf>
    <xf numFmtId="177" fontId="18" fillId="3" borderId="1" xfId="49" applyNumberFormat="1" applyFont="1" applyFill="1" applyBorder="1" applyAlignment="1" quotePrefix="1">
      <alignment horizontal="center" vertical="center"/>
    </xf>
    <xf numFmtId="177" fontId="18" fillId="3" borderId="1" xfId="49" applyNumberFormat="1" applyFont="1" applyFill="1" applyBorder="1" applyAlignment="1" quotePrefix="1">
      <alignment horizontal="left" vertical="center"/>
    </xf>
    <xf numFmtId="178" fontId="9" fillId="3" borderId="7" xfId="49" applyNumberFormat="1" applyFont="1" applyFill="1" applyBorder="1" applyAlignment="1" quotePrefix="1">
      <alignment horizontal="left" vertical="center"/>
    </xf>
    <xf numFmtId="177" fontId="18" fillId="3" borderId="7" xfId="49" applyNumberFormat="1" applyFont="1" applyFill="1" applyBorder="1" applyAlignment="1" quotePrefix="1">
      <alignment horizontal="center" vertical="center"/>
    </xf>
    <xf numFmtId="177" fontId="9" fillId="3" borderId="18" xfId="49" applyNumberFormat="1" applyFont="1" applyFill="1" applyBorder="1" applyAlignment="1" quotePrefix="1">
      <alignment horizontal="left" vertical="center"/>
    </xf>
    <xf numFmtId="177" fontId="9" fillId="3" borderId="19" xfId="49" applyNumberFormat="1" applyFont="1" applyFill="1" applyBorder="1" applyAlignment="1" quotePrefix="1">
      <alignment horizontal="center"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0,0_x000d__x000a_NA_x000d__x000a_ 2" xfId="49"/>
    <cellStyle name="0,0_x000d__x000a_NA_x000d__x000a__利润表" xfId="50"/>
  </cellStyle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0" Type="http://schemas.openxmlformats.org/officeDocument/2006/relationships/sharedStrings" Target="sharedStrings.xml"/><Relationship Id="rId2" Type="http://schemas.openxmlformats.org/officeDocument/2006/relationships/worksheet" Target="worksheets/sheet2.xml"/><Relationship Id="rId19" Type="http://schemas.openxmlformats.org/officeDocument/2006/relationships/styles" Target="styles.xml"/><Relationship Id="rId18" Type="http://schemas.openxmlformats.org/officeDocument/2006/relationships/theme" Target="theme/theme1.xml"/><Relationship Id="rId17" Type="http://schemas.openxmlformats.org/officeDocument/2006/relationships/externalLink" Target="externalLinks/externalLink3.xml"/><Relationship Id="rId16" Type="http://schemas.openxmlformats.org/officeDocument/2006/relationships/externalLink" Target="externalLinks/externalLink2.xml"/><Relationship Id="rId15" Type="http://schemas.openxmlformats.org/officeDocument/2006/relationships/externalLink" Target="externalLinks/externalLink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pc\Desktop\&#28023;&#21475;&#19977;&#27743;&#20892;&#22330;\&#23457;&#35745;&#25253;&#21578;&#65288;&#20892;&#22330;&#29289;&#19994;&#65289;\18&#24180;&#25253;&#34920;&#65288;&#20892;&#22330;&#29289;&#19994;&#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sus-pc\Desktop\&#28023;&#21475;&#19977;&#27743;&#20892;&#22330;\&#29289;&#19994;-&#35745;&#25552;&#22351;&#36134;&#20934;&#2279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enovo\Desktop\2020&#19977;&#27743;\&#19977;&#27743;&#20892;&#19994;2020\&#28023;&#21475;&#31119;&#28385;&#19977;&#27743;&#20892;&#19994;&#26381;&#21153;&#26377;&#38480;&#20844;&#21496;2020&#24180;&#20250;&#35745;&#25253;&#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资产负债表"/>
      <sheetName val="利润表"/>
      <sheetName val="现金流量表"/>
      <sheetName val="权益变动表"/>
    </sheetNames>
    <sheetDataSet>
      <sheetData sheetId="0" refreshError="1">
        <row r="3">
          <cell r="A3" t="str">
            <v>编制单位:海口三江农场物业服务有限公司</v>
          </cell>
        </row>
      </sheetData>
      <sheetData sheetId="1" refreshError="1"/>
      <sheetData sheetId="2" refreshError="1"/>
      <sheetData sheetId="3"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物业-应收账款2018"/>
      <sheetName val="物业-应收账款2019"/>
      <sheetName val="Sheet4"/>
    </sheetNames>
    <sheetDataSet>
      <sheetData sheetId="0">
        <row r="14">
          <cell r="H14">
            <v>155703.494</v>
          </cell>
        </row>
      </sheetData>
      <sheetData sheetId="1"/>
      <sheetData sheetId="2"/>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调整"/>
      <sheetName val="计提坏账"/>
      <sheetName val="2020年审计调整"/>
      <sheetName val="资产负债表"/>
      <sheetName val="利润表"/>
      <sheetName val="现流表"/>
      <sheetName val="附表"/>
      <sheetName val="所有者权益变动表"/>
    </sheetNames>
    <sheetDataSet>
      <sheetData sheetId="0"/>
      <sheetData sheetId="1"/>
      <sheetData sheetId="2"/>
      <sheetData sheetId="3">
        <row r="3">
          <cell r="A3" t="str">
            <v>编制单位：海口福满三江农业有限公司</v>
          </cell>
        </row>
      </sheetData>
      <sheetData sheetId="4">
        <row r="13">
          <cell r="G13">
            <v>-976846.59</v>
          </cell>
        </row>
      </sheetData>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0.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comments" Target="../comments3.xm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N87"/>
  <sheetViews>
    <sheetView tabSelected="1" view="pageBreakPreview" zoomScale="70" zoomScaleNormal="80" workbookViewId="0">
      <selection activeCell="J22" sqref="J22"/>
    </sheetView>
  </sheetViews>
  <sheetFormatPr defaultColWidth="8" defaultRowHeight="12.75"/>
  <cols>
    <col min="1" max="1" width="35" style="356" customWidth="1"/>
    <col min="2" max="2" width="4.875" style="238" customWidth="1"/>
    <col min="3" max="3" width="17.9083333333333" style="238" customWidth="1"/>
    <col min="4" max="4" width="17.6583333333333" style="238" customWidth="1"/>
    <col min="5" max="5" width="42.025" style="356" customWidth="1"/>
    <col min="6" max="6" width="5.775" style="238" customWidth="1"/>
    <col min="7" max="7" width="17.1416666666667" style="238" customWidth="1"/>
    <col min="8" max="8" width="16.8833333333333" style="238" customWidth="1"/>
    <col min="9" max="9" width="8" style="238"/>
    <col min="10" max="10" width="12.9833333333333" style="238"/>
    <col min="11" max="11" width="11.2583333333333" style="238"/>
    <col min="12" max="12" width="8" style="238"/>
    <col min="13" max="13" width="12.8" style="238"/>
    <col min="14" max="14" width="12.9833333333333" style="238"/>
    <col min="15" max="16384" width="8" style="238"/>
  </cols>
  <sheetData>
    <row r="1" ht="22.5" spans="1:8">
      <c r="A1" s="357" t="s">
        <v>0</v>
      </c>
      <c r="B1" s="357"/>
      <c r="C1" s="357"/>
      <c r="D1" s="357"/>
      <c r="E1" s="357"/>
      <c r="F1" s="357"/>
      <c r="G1" s="357"/>
      <c r="H1" s="357"/>
    </row>
    <row r="2" ht="15" spans="1:8">
      <c r="A2" s="358"/>
      <c r="B2" s="359"/>
      <c r="C2" s="339"/>
      <c r="D2" s="340"/>
      <c r="E2" s="358"/>
      <c r="F2" s="360"/>
      <c r="G2" s="360"/>
      <c r="H2" s="361"/>
    </row>
    <row r="3" ht="15" spans="1:8">
      <c r="A3" s="332" t="s">
        <v>1</v>
      </c>
      <c r="B3" s="332"/>
      <c r="C3" s="332"/>
      <c r="D3" s="362">
        <v>44196</v>
      </c>
      <c r="E3" s="362"/>
      <c r="F3" s="362"/>
      <c r="G3" s="362"/>
      <c r="H3" s="220" t="s">
        <v>2</v>
      </c>
    </row>
    <row r="4" ht="15" customHeight="1" spans="1:8">
      <c r="A4" s="363" t="s">
        <v>3</v>
      </c>
      <c r="B4" s="364" t="s">
        <v>4</v>
      </c>
      <c r="C4" s="364" t="s">
        <v>5</v>
      </c>
      <c r="D4" s="364" t="s">
        <v>6</v>
      </c>
      <c r="E4" s="363" t="s">
        <v>3</v>
      </c>
      <c r="F4" s="364" t="s">
        <v>4</v>
      </c>
      <c r="G4" s="364" t="s">
        <v>5</v>
      </c>
      <c r="H4" s="364" t="s">
        <v>6</v>
      </c>
    </row>
    <row r="5" ht="15" customHeight="1" spans="1:8">
      <c r="A5" s="230" t="s">
        <v>7</v>
      </c>
      <c r="B5" s="364" t="s">
        <v>8</v>
      </c>
      <c r="C5" s="364" t="s">
        <v>9</v>
      </c>
      <c r="D5" s="364" t="s">
        <v>9</v>
      </c>
      <c r="E5" s="230" t="s">
        <v>10</v>
      </c>
      <c r="F5" s="364" t="s">
        <v>11</v>
      </c>
      <c r="G5" s="364" t="s">
        <v>9</v>
      </c>
      <c r="H5" s="364" t="s">
        <v>9</v>
      </c>
    </row>
    <row r="6" ht="15" customHeight="1" spans="1:8">
      <c r="A6" s="365" t="s">
        <v>12</v>
      </c>
      <c r="B6" s="364" t="s">
        <v>13</v>
      </c>
      <c r="C6" s="366">
        <f>资产负债表合并过程!C4</f>
        <v>55352203.58</v>
      </c>
      <c r="D6" s="366">
        <f>资产负债表合并过程!C84</f>
        <v>6144611.23</v>
      </c>
      <c r="E6" s="365" t="s">
        <v>14</v>
      </c>
      <c r="F6" s="364" t="s">
        <v>15</v>
      </c>
      <c r="G6" s="366"/>
      <c r="H6" s="366"/>
    </row>
    <row r="7" ht="15" customHeight="1" spans="1:8">
      <c r="A7" s="365" t="s">
        <v>16</v>
      </c>
      <c r="B7" s="364" t="s">
        <v>17</v>
      </c>
      <c r="C7" s="366"/>
      <c r="D7" s="366"/>
      <c r="E7" s="365" t="s">
        <v>18</v>
      </c>
      <c r="F7" s="364" t="s">
        <v>19</v>
      </c>
      <c r="G7" s="366"/>
      <c r="H7" s="366"/>
    </row>
    <row r="8" ht="15" customHeight="1" spans="1:8">
      <c r="A8" s="365" t="s">
        <v>20</v>
      </c>
      <c r="B8" s="364" t="s">
        <v>21</v>
      </c>
      <c r="C8" s="366"/>
      <c r="D8" s="366"/>
      <c r="E8" s="365" t="s">
        <v>22</v>
      </c>
      <c r="F8" s="364" t="s">
        <v>23</v>
      </c>
      <c r="G8" s="366"/>
      <c r="H8" s="366"/>
    </row>
    <row r="9" ht="15" customHeight="1" spans="1:8">
      <c r="A9" s="365" t="s">
        <v>24</v>
      </c>
      <c r="B9" s="364" t="s">
        <v>25</v>
      </c>
      <c r="C9" s="366"/>
      <c r="D9" s="366">
        <f>资产负债表合并过程!C87</f>
        <v>46000000</v>
      </c>
      <c r="E9" s="365" t="s">
        <v>26</v>
      </c>
      <c r="F9" s="364" t="s">
        <v>27</v>
      </c>
      <c r="G9" s="366"/>
      <c r="H9" s="366"/>
    </row>
    <row r="10" ht="27" spans="1:8">
      <c r="A10" s="365" t="s">
        <v>28</v>
      </c>
      <c r="B10" s="364" t="s">
        <v>29</v>
      </c>
      <c r="C10" s="366"/>
      <c r="D10" s="366"/>
      <c r="E10" s="365" t="s">
        <v>30</v>
      </c>
      <c r="F10" s="364" t="s">
        <v>31</v>
      </c>
      <c r="G10" s="366"/>
      <c r="H10" s="366"/>
    </row>
    <row r="11" ht="15" customHeight="1" spans="1:8">
      <c r="A11" s="365" t="s">
        <v>32</v>
      </c>
      <c r="B11" s="364" t="s">
        <v>33</v>
      </c>
      <c r="C11" s="366"/>
      <c r="D11" s="366"/>
      <c r="E11" s="365" t="s">
        <v>34</v>
      </c>
      <c r="F11" s="364" t="s">
        <v>35</v>
      </c>
      <c r="G11" s="366"/>
      <c r="H11" s="366"/>
    </row>
    <row r="12" ht="15" customHeight="1" spans="1:8">
      <c r="A12" s="365" t="s">
        <v>36</v>
      </c>
      <c r="B12" s="364" t="s">
        <v>37</v>
      </c>
      <c r="C12" s="366"/>
      <c r="D12" s="366"/>
      <c r="E12" s="365" t="s">
        <v>38</v>
      </c>
      <c r="F12" s="364" t="s">
        <v>39</v>
      </c>
      <c r="G12" s="366"/>
      <c r="H12" s="366"/>
    </row>
    <row r="13" ht="15" customHeight="1" spans="1:8">
      <c r="A13" s="365" t="s">
        <v>40</v>
      </c>
      <c r="B13" s="364" t="s">
        <v>41</v>
      </c>
      <c r="C13" s="366">
        <f>资产负债表合并过程!C11</f>
        <v>5560117.402</v>
      </c>
      <c r="D13" s="367">
        <f>资产负债表合并过程!C91+222064.74</f>
        <v>3001308.151</v>
      </c>
      <c r="E13" s="365" t="s">
        <v>42</v>
      </c>
      <c r="F13" s="364" t="s">
        <v>43</v>
      </c>
      <c r="G13" s="366">
        <f>资产负债表合并过程!K11</f>
        <v>717814.42</v>
      </c>
      <c r="H13" s="366">
        <f>资产负债表合并过程!K91</f>
        <v>87174.38</v>
      </c>
    </row>
    <row r="14" ht="15" customHeight="1" spans="1:8">
      <c r="A14" s="365" t="s">
        <v>44</v>
      </c>
      <c r="B14" s="364" t="s">
        <v>45</v>
      </c>
      <c r="C14" s="366"/>
      <c r="D14" s="366"/>
      <c r="E14" s="365" t="s">
        <v>46</v>
      </c>
      <c r="F14" s="364" t="s">
        <v>47</v>
      </c>
      <c r="G14" s="366">
        <f>资产负债表合并过程!K12</f>
        <v>6638</v>
      </c>
      <c r="H14" s="366">
        <f>资产负债表合并过程!K92</f>
        <v>593333.36</v>
      </c>
    </row>
    <row r="15" ht="15" customHeight="1" spans="1:8">
      <c r="A15" s="365" t="s">
        <v>48</v>
      </c>
      <c r="B15" s="364" t="s">
        <v>49</v>
      </c>
      <c r="C15" s="366">
        <f>资产负债表合并过程!C13</f>
        <v>23683.7</v>
      </c>
      <c r="D15" s="366">
        <f>资产负债表合并过程!C93</f>
        <v>33555.14</v>
      </c>
      <c r="E15" s="365" t="s">
        <v>50</v>
      </c>
      <c r="F15" s="364" t="s">
        <v>51</v>
      </c>
      <c r="G15" s="366"/>
      <c r="H15" s="366"/>
    </row>
    <row r="16" ht="15" customHeight="1" spans="1:8">
      <c r="A16" s="365" t="s">
        <v>52</v>
      </c>
      <c r="B16" s="364" t="s">
        <v>53</v>
      </c>
      <c r="C16" s="366"/>
      <c r="D16" s="366"/>
      <c r="E16" s="365" t="s">
        <v>54</v>
      </c>
      <c r="F16" s="364" t="s">
        <v>55</v>
      </c>
      <c r="G16" s="366"/>
      <c r="H16" s="366"/>
    </row>
    <row r="17" ht="15" customHeight="1" spans="1:8">
      <c r="A17" s="365" t="s">
        <v>56</v>
      </c>
      <c r="B17" s="364" t="s">
        <v>57</v>
      </c>
      <c r="C17" s="366"/>
      <c r="D17" s="366"/>
      <c r="E17" s="365" t="s">
        <v>58</v>
      </c>
      <c r="F17" s="364" t="s">
        <v>59</v>
      </c>
      <c r="G17" s="366"/>
      <c r="H17" s="366"/>
    </row>
    <row r="18" ht="15" customHeight="1" spans="1:8">
      <c r="A18" s="365" t="s">
        <v>60</v>
      </c>
      <c r="B18" s="364" t="s">
        <v>61</v>
      </c>
      <c r="C18" s="366"/>
      <c r="D18" s="366"/>
      <c r="E18" s="365" t="s">
        <v>62</v>
      </c>
      <c r="F18" s="364" t="s">
        <v>63</v>
      </c>
      <c r="G18" s="366"/>
      <c r="H18" s="366"/>
    </row>
    <row r="19" ht="15" customHeight="1" spans="1:8">
      <c r="A19" s="365" t="s">
        <v>64</v>
      </c>
      <c r="B19" s="364" t="s">
        <v>65</v>
      </c>
      <c r="C19" s="366">
        <f>资产负债表合并过程!C17</f>
        <v>25690.39</v>
      </c>
      <c r="D19" s="366">
        <f>资产负债表合并过程!C97</f>
        <v>4504.79</v>
      </c>
      <c r="E19" s="365" t="s">
        <v>66</v>
      </c>
      <c r="F19" s="364" t="s">
        <v>67</v>
      </c>
      <c r="G19" s="366"/>
      <c r="H19" s="366"/>
    </row>
    <row r="20" ht="15" customHeight="1" spans="1:8">
      <c r="A20" s="365" t="s">
        <v>68</v>
      </c>
      <c r="B20" s="364" t="s">
        <v>69</v>
      </c>
      <c r="C20" s="366"/>
      <c r="D20" s="366"/>
      <c r="E20" s="365" t="s">
        <v>70</v>
      </c>
      <c r="F20" s="364" t="s">
        <v>71</v>
      </c>
      <c r="G20" s="366">
        <f>资产负债表合并过程!K18</f>
        <v>3381709.36</v>
      </c>
      <c r="H20" s="366">
        <f>资产负债表合并过程!K98</f>
        <v>2024157.79</v>
      </c>
    </row>
    <row r="21" ht="15" customHeight="1" spans="1:8">
      <c r="A21" s="365" t="s">
        <v>72</v>
      </c>
      <c r="B21" s="364" t="s">
        <v>73</v>
      </c>
      <c r="C21" s="366"/>
      <c r="D21" s="366"/>
      <c r="E21" s="365" t="s">
        <v>74</v>
      </c>
      <c r="F21" s="364" t="s">
        <v>75</v>
      </c>
      <c r="G21" s="366"/>
      <c r="H21" s="366"/>
    </row>
    <row r="22" ht="15" customHeight="1" spans="1:8">
      <c r="A22" s="365" t="s">
        <v>76</v>
      </c>
      <c r="B22" s="364" t="s">
        <v>77</v>
      </c>
      <c r="C22" s="366">
        <f>资产负债表合并过程!C20</f>
        <v>685812.84</v>
      </c>
      <c r="D22" s="366"/>
      <c r="E22" s="365" t="s">
        <v>78</v>
      </c>
      <c r="F22" s="364" t="s">
        <v>79</v>
      </c>
      <c r="G22" s="366"/>
      <c r="H22" s="366"/>
    </row>
    <row r="23" ht="15" customHeight="1" spans="1:8">
      <c r="A23" s="365" t="s">
        <v>80</v>
      </c>
      <c r="B23" s="364" t="s">
        <v>81</v>
      </c>
      <c r="C23" s="366"/>
      <c r="D23" s="366"/>
      <c r="E23" s="365" t="s">
        <v>82</v>
      </c>
      <c r="F23" s="364" t="s">
        <v>83</v>
      </c>
      <c r="G23" s="366"/>
      <c r="H23" s="366"/>
    </row>
    <row r="24" ht="15" customHeight="1" spans="1:8">
      <c r="A24" s="365" t="s">
        <v>84</v>
      </c>
      <c r="B24" s="364" t="s">
        <v>85</v>
      </c>
      <c r="C24" s="366"/>
      <c r="D24" s="366"/>
      <c r="E24" s="365" t="s">
        <v>86</v>
      </c>
      <c r="F24" s="364" t="s">
        <v>87</v>
      </c>
      <c r="G24" s="366">
        <f>资产负债表合并过程!K22</f>
        <v>728903.62</v>
      </c>
      <c r="H24" s="366">
        <f>资产负债表合并过程!K102</f>
        <v>379558.33</v>
      </c>
    </row>
    <row r="25" ht="15" customHeight="1" spans="1:8">
      <c r="A25" s="365" t="s">
        <v>88</v>
      </c>
      <c r="B25" s="364" t="s">
        <v>89</v>
      </c>
      <c r="C25" s="366"/>
      <c r="D25" s="366"/>
      <c r="E25" s="365" t="s">
        <v>90</v>
      </c>
      <c r="F25" s="364" t="s">
        <v>91</v>
      </c>
      <c r="G25" s="366"/>
      <c r="H25" s="366"/>
    </row>
    <row r="26" ht="15" customHeight="1" spans="1:8">
      <c r="A26" s="365" t="s">
        <v>92</v>
      </c>
      <c r="B26" s="364" t="s">
        <v>93</v>
      </c>
      <c r="C26" s="366"/>
      <c r="D26" s="366"/>
      <c r="E26" s="365" t="s">
        <v>94</v>
      </c>
      <c r="F26" s="364" t="s">
        <v>95</v>
      </c>
      <c r="G26" s="366">
        <f>资产负债表合并过程!K24</f>
        <v>571438.75</v>
      </c>
      <c r="H26" s="366">
        <f>资产负债表合并过程!K104</f>
        <v>614644.59</v>
      </c>
    </row>
    <row r="27" ht="15" customHeight="1" spans="1:8">
      <c r="A27" s="365" t="s">
        <v>96</v>
      </c>
      <c r="B27" s="364" t="s">
        <v>97</v>
      </c>
      <c r="C27" s="366"/>
      <c r="D27" s="366"/>
      <c r="E27" s="365" t="s">
        <v>98</v>
      </c>
      <c r="F27" s="364" t="s">
        <v>99</v>
      </c>
      <c r="G27" s="366"/>
      <c r="H27" s="366"/>
    </row>
    <row r="28" ht="15" customHeight="1" spans="1:8">
      <c r="A28" s="365" t="s">
        <v>100</v>
      </c>
      <c r="B28" s="364" t="s">
        <v>101</v>
      </c>
      <c r="C28" s="366"/>
      <c r="D28" s="366"/>
      <c r="E28" s="365" t="s">
        <v>102</v>
      </c>
      <c r="F28" s="364" t="s">
        <v>103</v>
      </c>
      <c r="G28" s="366"/>
      <c r="H28" s="366"/>
    </row>
    <row r="29" ht="15" customHeight="1" spans="1:8">
      <c r="A29" s="368" t="s">
        <v>104</v>
      </c>
      <c r="B29" s="364" t="s">
        <v>105</v>
      </c>
      <c r="C29" s="366">
        <f>C6+C9+C13+C15+C19+C22</f>
        <v>61647507.912</v>
      </c>
      <c r="D29" s="366">
        <f>D6+D13+D15+D19+D22+D9</f>
        <v>55183979.311</v>
      </c>
      <c r="E29" s="365" t="s">
        <v>106</v>
      </c>
      <c r="F29" s="364" t="s">
        <v>107</v>
      </c>
      <c r="G29" s="366"/>
      <c r="H29" s="366"/>
    </row>
    <row r="30" ht="15" customHeight="1" spans="1:8">
      <c r="A30" s="230" t="s">
        <v>108</v>
      </c>
      <c r="B30" s="364" t="s">
        <v>109</v>
      </c>
      <c r="C30" s="364"/>
      <c r="D30" s="364"/>
      <c r="E30" s="365" t="s">
        <v>110</v>
      </c>
      <c r="F30" s="364" t="s">
        <v>111</v>
      </c>
      <c r="G30" s="366"/>
      <c r="H30" s="366"/>
    </row>
    <row r="31" ht="15" customHeight="1" spans="1:8">
      <c r="A31" s="365" t="s">
        <v>112</v>
      </c>
      <c r="B31" s="364" t="s">
        <v>113</v>
      </c>
      <c r="C31" s="366"/>
      <c r="D31" s="366"/>
      <c r="E31" s="365" t="s">
        <v>114</v>
      </c>
      <c r="F31" s="364" t="s">
        <v>115</v>
      </c>
      <c r="G31" s="366"/>
      <c r="H31" s="366"/>
    </row>
    <row r="32" ht="15" customHeight="1" spans="1:8">
      <c r="A32" s="365" t="s">
        <v>116</v>
      </c>
      <c r="B32" s="364" t="s">
        <v>117</v>
      </c>
      <c r="C32" s="366"/>
      <c r="D32" s="366"/>
      <c r="E32" s="365" t="s">
        <v>118</v>
      </c>
      <c r="F32" s="364" t="s">
        <v>119</v>
      </c>
      <c r="G32" s="366">
        <f>资产负债表合并过程!K30</f>
        <v>846318.02</v>
      </c>
      <c r="H32" s="366"/>
    </row>
    <row r="33" ht="15" customHeight="1" spans="1:8">
      <c r="A33" s="365" t="s">
        <v>120</v>
      </c>
      <c r="B33" s="364" t="s">
        <v>121</v>
      </c>
      <c r="C33" s="366"/>
      <c r="D33" s="366"/>
      <c r="E33" s="368" t="s">
        <v>122</v>
      </c>
      <c r="F33" s="364" t="s">
        <v>123</v>
      </c>
      <c r="G33" s="366">
        <f>G26+G24+G20+G14+G13+G32</f>
        <v>6252822.17</v>
      </c>
      <c r="H33" s="366">
        <f>H26+H24+H20+H14+H13</f>
        <v>3698868.45</v>
      </c>
    </row>
    <row r="34" ht="15" customHeight="1" spans="1:8">
      <c r="A34" s="365" t="s">
        <v>124</v>
      </c>
      <c r="B34" s="364" t="s">
        <v>125</v>
      </c>
      <c r="C34" s="366"/>
      <c r="D34" s="366"/>
      <c r="E34" s="230" t="s">
        <v>126</v>
      </c>
      <c r="F34" s="364" t="s">
        <v>127</v>
      </c>
      <c r="G34" s="364"/>
      <c r="H34" s="364"/>
    </row>
    <row r="35" ht="15" customHeight="1" spans="1:8">
      <c r="A35" s="365" t="s">
        <v>128</v>
      </c>
      <c r="B35" s="364" t="s">
        <v>129</v>
      </c>
      <c r="C35" s="366"/>
      <c r="D35" s="366"/>
      <c r="E35" s="365" t="s">
        <v>130</v>
      </c>
      <c r="F35" s="364" t="s">
        <v>131</v>
      </c>
      <c r="G35" s="366"/>
      <c r="H35" s="366"/>
    </row>
    <row r="36" ht="15" customHeight="1" spans="1:8">
      <c r="A36" s="365" t="s">
        <v>132</v>
      </c>
      <c r="B36" s="364" t="s">
        <v>133</v>
      </c>
      <c r="C36" s="366"/>
      <c r="D36" s="366"/>
      <c r="E36" s="365" t="s">
        <v>134</v>
      </c>
      <c r="F36" s="364" t="s">
        <v>135</v>
      </c>
      <c r="G36" s="366"/>
      <c r="H36" s="366"/>
    </row>
    <row r="37" ht="15" customHeight="1" spans="1:8">
      <c r="A37" s="365" t="s">
        <v>136</v>
      </c>
      <c r="B37" s="364" t="s">
        <v>137</v>
      </c>
      <c r="C37" s="366">
        <f>资产负债表合并过程!C35</f>
        <v>0</v>
      </c>
      <c r="D37" s="366">
        <f>资产负债表合并过程!C115</f>
        <v>1000000</v>
      </c>
      <c r="E37" s="365" t="s">
        <v>138</v>
      </c>
      <c r="F37" s="364" t="s">
        <v>139</v>
      </c>
      <c r="G37" s="366"/>
      <c r="H37" s="366"/>
    </row>
    <row r="38" ht="15" customHeight="1" spans="1:8">
      <c r="A38" s="365" t="s">
        <v>140</v>
      </c>
      <c r="B38" s="364" t="s">
        <v>141</v>
      </c>
      <c r="C38" s="366"/>
      <c r="D38" s="366"/>
      <c r="E38" s="365" t="s">
        <v>142</v>
      </c>
      <c r="F38" s="364" t="s">
        <v>143</v>
      </c>
      <c r="G38" s="366"/>
      <c r="H38" s="366"/>
    </row>
    <row r="39" ht="15" customHeight="1" spans="1:8">
      <c r="A39" s="365" t="s">
        <v>144</v>
      </c>
      <c r="B39" s="364" t="s">
        <v>145</v>
      </c>
      <c r="C39" s="366"/>
      <c r="D39" s="366"/>
      <c r="E39" s="365" t="s">
        <v>146</v>
      </c>
      <c r="F39" s="364" t="s">
        <v>147</v>
      </c>
      <c r="G39" s="366"/>
      <c r="H39" s="366"/>
    </row>
    <row r="40" ht="15" customHeight="1" spans="1:8">
      <c r="A40" s="365" t="s">
        <v>148</v>
      </c>
      <c r="B40" s="364" t="s">
        <v>149</v>
      </c>
      <c r="C40" s="366"/>
      <c r="D40" s="366"/>
      <c r="E40" s="365" t="s">
        <v>150</v>
      </c>
      <c r="F40" s="364" t="s">
        <v>151</v>
      </c>
      <c r="G40" s="366"/>
      <c r="H40" s="366"/>
    </row>
    <row r="41" ht="15" customHeight="1" spans="1:8">
      <c r="A41" s="365" t="s">
        <v>152</v>
      </c>
      <c r="B41" s="364" t="s">
        <v>153</v>
      </c>
      <c r="C41" s="366">
        <f>资产负债表合并过程!C39</f>
        <v>960469.54</v>
      </c>
      <c r="D41" s="366">
        <f>资产负债表合并过程!C119</f>
        <v>917364.24</v>
      </c>
      <c r="E41" s="365" t="s">
        <v>154</v>
      </c>
      <c r="F41" s="364" t="s">
        <v>155</v>
      </c>
      <c r="G41" s="366"/>
      <c r="H41" s="366"/>
    </row>
    <row r="42" ht="15" customHeight="1" spans="1:8">
      <c r="A42" s="365" t="s">
        <v>156</v>
      </c>
      <c r="B42" s="364" t="s">
        <v>157</v>
      </c>
      <c r="C42" s="366">
        <f>资产负债表合并过程!C40</f>
        <v>1656317.43</v>
      </c>
      <c r="D42" s="366">
        <f>资产负债表合并过程!C120</f>
        <v>1304996.64</v>
      </c>
      <c r="E42" s="365" t="s">
        <v>158</v>
      </c>
      <c r="F42" s="364" t="s">
        <v>159</v>
      </c>
      <c r="G42" s="366"/>
      <c r="H42" s="366"/>
    </row>
    <row r="43" ht="15" customHeight="1" spans="1:8">
      <c r="A43" s="365" t="s">
        <v>160</v>
      </c>
      <c r="B43" s="364" t="s">
        <v>161</v>
      </c>
      <c r="C43" s="366">
        <f>资产负债表合并过程!C41</f>
        <v>695847.89</v>
      </c>
      <c r="D43" s="366">
        <f>资产负债表合并过程!C121</f>
        <v>387632.4</v>
      </c>
      <c r="E43" s="365" t="s">
        <v>162</v>
      </c>
      <c r="F43" s="364" t="s">
        <v>163</v>
      </c>
      <c r="G43" s="366"/>
      <c r="H43" s="366"/>
    </row>
    <row r="44" ht="15" customHeight="1" spans="1:8">
      <c r="A44" s="365" t="s">
        <v>164</v>
      </c>
      <c r="B44" s="364" t="s">
        <v>165</v>
      </c>
      <c r="C44" s="366"/>
      <c r="D44" s="366"/>
      <c r="E44" s="365" t="s">
        <v>166</v>
      </c>
      <c r="F44" s="364" t="s">
        <v>167</v>
      </c>
      <c r="G44" s="366">
        <f>资产负债表合并过程!K42</f>
        <v>2876475.79</v>
      </c>
      <c r="H44" s="366"/>
    </row>
    <row r="45" ht="15" customHeight="1" spans="1:8">
      <c r="A45" s="365" t="s">
        <v>168</v>
      </c>
      <c r="B45" s="364" t="s">
        <v>169</v>
      </c>
      <c r="C45" s="366">
        <f>资产负债表合并过程!C43</f>
        <v>155266</v>
      </c>
      <c r="D45" s="366"/>
      <c r="E45" s="365" t="s">
        <v>170</v>
      </c>
      <c r="F45" s="364" t="s">
        <v>171</v>
      </c>
      <c r="G45" s="366"/>
      <c r="H45" s="366"/>
    </row>
    <row r="46" ht="15" customHeight="1" spans="1:8">
      <c r="A46" s="365" t="s">
        <v>172</v>
      </c>
      <c r="B46" s="364" t="s">
        <v>173</v>
      </c>
      <c r="C46" s="366">
        <f>资产负债表合并过程!C44</f>
        <v>107338.63</v>
      </c>
      <c r="D46" s="366"/>
      <c r="E46" s="365" t="s">
        <v>174</v>
      </c>
      <c r="F46" s="364" t="s">
        <v>175</v>
      </c>
      <c r="G46" s="366">
        <f>资产负债表合并过程!K44</f>
        <v>0</v>
      </c>
      <c r="H46" s="366">
        <f>资产负债表合并过程!M124</f>
        <v>846318.02</v>
      </c>
    </row>
    <row r="47" ht="15" customHeight="1" spans="1:8">
      <c r="A47" s="365" t="s">
        <v>176</v>
      </c>
      <c r="B47" s="364" t="s">
        <v>177</v>
      </c>
      <c r="C47" s="366"/>
      <c r="D47" s="366"/>
      <c r="E47" s="365" t="s">
        <v>178</v>
      </c>
      <c r="F47" s="364" t="s">
        <v>179</v>
      </c>
      <c r="G47" s="366"/>
      <c r="H47" s="366"/>
    </row>
    <row r="48" ht="15" customHeight="1" spans="1:8">
      <c r="A48" s="365" t="s">
        <v>180</v>
      </c>
      <c r="B48" s="364" t="s">
        <v>181</v>
      </c>
      <c r="C48" s="366"/>
      <c r="D48" s="366"/>
      <c r="E48" s="368" t="s">
        <v>182</v>
      </c>
      <c r="F48" s="364" t="s">
        <v>183</v>
      </c>
      <c r="G48" s="366">
        <f>G46+G44</f>
        <v>2876475.79</v>
      </c>
      <c r="H48" s="366">
        <f>H46</f>
        <v>846318.02</v>
      </c>
    </row>
    <row r="49" ht="15" customHeight="1" spans="1:8">
      <c r="A49" s="365" t="s">
        <v>184</v>
      </c>
      <c r="B49" s="364" t="s">
        <v>185</v>
      </c>
      <c r="C49" s="366">
        <f>资产负债表合并过程!C47</f>
        <v>9779.08</v>
      </c>
      <c r="D49" s="366"/>
      <c r="E49" s="368" t="s">
        <v>186</v>
      </c>
      <c r="F49" s="364" t="s">
        <v>187</v>
      </c>
      <c r="G49" s="366">
        <f>G48+G33</f>
        <v>9129297.96</v>
      </c>
      <c r="H49" s="366">
        <f>H48+H33</f>
        <v>4545186.47</v>
      </c>
    </row>
    <row r="50" ht="15" customHeight="1" spans="1:8">
      <c r="A50" s="365" t="s">
        <v>188</v>
      </c>
      <c r="B50" s="364" t="s">
        <v>189</v>
      </c>
      <c r="C50" s="366"/>
      <c r="D50" s="366"/>
      <c r="E50" s="230" t="s">
        <v>190</v>
      </c>
      <c r="F50" s="364" t="s">
        <v>191</v>
      </c>
      <c r="G50" s="364"/>
      <c r="H50" s="364"/>
    </row>
    <row r="51" ht="15" customHeight="1" spans="1:8">
      <c r="A51" s="365" t="s">
        <v>192</v>
      </c>
      <c r="B51" s="364" t="s">
        <v>193</v>
      </c>
      <c r="C51" s="366"/>
      <c r="D51" s="366"/>
      <c r="E51" s="365" t="s">
        <v>194</v>
      </c>
      <c r="F51" s="364" t="s">
        <v>195</v>
      </c>
      <c r="G51" s="366">
        <f>资产负债表合并过程!K49</f>
        <v>50000000</v>
      </c>
      <c r="H51" s="366">
        <f>资产负债表合并过程!K129</f>
        <v>50000000</v>
      </c>
    </row>
    <row r="52" ht="15" customHeight="1" spans="1:8">
      <c r="A52" s="365" t="s">
        <v>196</v>
      </c>
      <c r="B52" s="364" t="s">
        <v>197</v>
      </c>
      <c r="C52" s="366">
        <f>资产负债表合并过程!C50</f>
        <v>605581.32</v>
      </c>
      <c r="D52" s="366"/>
      <c r="E52" s="365" t="s">
        <v>198</v>
      </c>
      <c r="F52" s="364" t="s">
        <v>199</v>
      </c>
      <c r="G52" s="366">
        <f>G51</f>
        <v>50000000</v>
      </c>
      <c r="H52" s="366">
        <v>50000000</v>
      </c>
    </row>
    <row r="53" ht="15" customHeight="1" spans="1:8">
      <c r="A53" s="365" t="s">
        <v>200</v>
      </c>
      <c r="B53" s="364" t="s">
        <v>201</v>
      </c>
      <c r="C53" s="366"/>
      <c r="D53" s="366"/>
      <c r="E53" s="365" t="s">
        <v>202</v>
      </c>
      <c r="F53" s="364" t="s">
        <v>203</v>
      </c>
      <c r="G53" s="366"/>
      <c r="H53" s="366"/>
    </row>
    <row r="54" ht="15" customHeight="1" spans="1:8">
      <c r="A54" s="365" t="s">
        <v>204</v>
      </c>
      <c r="B54" s="364" t="s">
        <v>205</v>
      </c>
      <c r="C54" s="366"/>
      <c r="D54" s="366"/>
      <c r="E54" s="365" t="s">
        <v>206</v>
      </c>
      <c r="F54" s="364" t="s">
        <v>207</v>
      </c>
      <c r="G54" s="366"/>
      <c r="H54" s="366"/>
    </row>
    <row r="55" ht="15" customHeight="1" spans="1:8">
      <c r="A55" s="365" t="s">
        <v>208</v>
      </c>
      <c r="B55" s="364" t="s">
        <v>209</v>
      </c>
      <c r="C55" s="366"/>
      <c r="D55" s="366"/>
      <c r="E55" s="365" t="s">
        <v>210</v>
      </c>
      <c r="F55" s="364" t="s">
        <v>211</v>
      </c>
      <c r="G55" s="366"/>
      <c r="H55" s="366"/>
    </row>
    <row r="56" ht="15" customHeight="1" spans="1:8">
      <c r="A56" s="368" t="s">
        <v>212</v>
      </c>
      <c r="B56" s="364" t="s">
        <v>213</v>
      </c>
      <c r="C56" s="366">
        <f>C37+C41+C45+C46+C49+C52</f>
        <v>1838434.57</v>
      </c>
      <c r="D56" s="366">
        <f>D41+D37</f>
        <v>1917364.24</v>
      </c>
      <c r="E56" s="365" t="s">
        <v>214</v>
      </c>
      <c r="F56" s="364" t="s">
        <v>215</v>
      </c>
      <c r="G56" s="366"/>
      <c r="H56" s="366"/>
    </row>
    <row r="57" ht="15" customHeight="1" spans="1:8">
      <c r="A57" s="365"/>
      <c r="B57" s="364" t="s">
        <v>216</v>
      </c>
      <c r="C57" s="369"/>
      <c r="D57" s="369"/>
      <c r="E57" s="365" t="s">
        <v>217</v>
      </c>
      <c r="F57" s="364" t="s">
        <v>218</v>
      </c>
      <c r="G57" s="366"/>
      <c r="H57" s="366"/>
    </row>
    <row r="58" ht="15" customHeight="1" spans="1:8">
      <c r="A58" s="365"/>
      <c r="B58" s="364" t="s">
        <v>219</v>
      </c>
      <c r="C58" s="369"/>
      <c r="D58" s="369"/>
      <c r="E58" s="365" t="s">
        <v>220</v>
      </c>
      <c r="F58" s="364" t="s">
        <v>221</v>
      </c>
      <c r="G58" s="366">
        <f>G51</f>
        <v>50000000</v>
      </c>
      <c r="H58" s="366">
        <f>资产负债表合并过程!K136</f>
        <v>50000000</v>
      </c>
    </row>
    <row r="59" ht="15" customHeight="1" spans="1:8">
      <c r="A59" s="365"/>
      <c r="B59" s="364" t="s">
        <v>222</v>
      </c>
      <c r="C59" s="369"/>
      <c r="D59" s="369"/>
      <c r="E59" s="365" t="s">
        <v>223</v>
      </c>
      <c r="F59" s="364" t="s">
        <v>224</v>
      </c>
      <c r="G59" s="366"/>
      <c r="H59" s="366"/>
    </row>
    <row r="60" ht="15" customHeight="1" spans="1:8">
      <c r="A60" s="365"/>
      <c r="B60" s="364" t="s">
        <v>225</v>
      </c>
      <c r="C60" s="369"/>
      <c r="D60" s="369"/>
      <c r="E60" s="365" t="s">
        <v>142</v>
      </c>
      <c r="F60" s="364" t="s">
        <v>226</v>
      </c>
      <c r="G60" s="366"/>
      <c r="H60" s="366"/>
    </row>
    <row r="61" ht="15" customHeight="1" spans="1:8">
      <c r="A61" s="365"/>
      <c r="B61" s="364" t="s">
        <v>227</v>
      </c>
      <c r="C61" s="369"/>
      <c r="D61" s="369"/>
      <c r="E61" s="365" t="s">
        <v>146</v>
      </c>
      <c r="F61" s="364" t="s">
        <v>228</v>
      </c>
      <c r="G61" s="366"/>
      <c r="H61" s="366"/>
    </row>
    <row r="62" ht="15" customHeight="1" spans="1:8">
      <c r="A62" s="365"/>
      <c r="B62" s="364" t="s">
        <v>229</v>
      </c>
      <c r="C62" s="369"/>
      <c r="D62" s="369"/>
      <c r="E62" s="365" t="s">
        <v>230</v>
      </c>
      <c r="F62" s="364" t="s">
        <v>231</v>
      </c>
      <c r="G62" s="366">
        <f>资产负债表合并过程!K60</f>
        <v>1307600</v>
      </c>
      <c r="H62" s="366">
        <f>资产负债表合并过程!K140</f>
        <v>1307600</v>
      </c>
    </row>
    <row r="63" ht="15" customHeight="1" spans="1:8">
      <c r="A63" s="365"/>
      <c r="B63" s="364" t="s">
        <v>232</v>
      </c>
      <c r="C63" s="369"/>
      <c r="D63" s="369"/>
      <c r="E63" s="365" t="s">
        <v>233</v>
      </c>
      <c r="F63" s="364" t="s">
        <v>234</v>
      </c>
      <c r="G63" s="366"/>
      <c r="H63" s="366"/>
    </row>
    <row r="64" ht="15" customHeight="1" spans="1:8">
      <c r="A64" s="365"/>
      <c r="B64" s="364" t="s">
        <v>235</v>
      </c>
      <c r="C64" s="369"/>
      <c r="D64" s="369"/>
      <c r="E64" s="365" t="s">
        <v>236</v>
      </c>
      <c r="F64" s="364" t="s">
        <v>237</v>
      </c>
      <c r="G64" s="366"/>
      <c r="H64" s="366"/>
    </row>
    <row r="65" ht="15" customHeight="1" spans="1:8">
      <c r="A65" s="365"/>
      <c r="B65" s="364" t="s">
        <v>238</v>
      </c>
      <c r="C65" s="369"/>
      <c r="D65" s="369"/>
      <c r="E65" s="365" t="s">
        <v>239</v>
      </c>
      <c r="F65" s="364" t="s">
        <v>240</v>
      </c>
      <c r="G65" s="366"/>
      <c r="H65" s="366"/>
    </row>
    <row r="66" ht="15" customHeight="1" spans="1:8">
      <c r="A66" s="365"/>
      <c r="B66" s="364" t="s">
        <v>241</v>
      </c>
      <c r="C66" s="369"/>
      <c r="D66" s="369"/>
      <c r="E66" s="365" t="s">
        <v>242</v>
      </c>
      <c r="F66" s="364" t="s">
        <v>243</v>
      </c>
      <c r="G66" s="366"/>
      <c r="H66" s="366"/>
    </row>
    <row r="67" ht="15" customHeight="1" spans="1:8">
      <c r="A67" s="365"/>
      <c r="B67" s="364" t="s">
        <v>244</v>
      </c>
      <c r="C67" s="369"/>
      <c r="D67" s="369"/>
      <c r="E67" s="365" t="s">
        <v>245</v>
      </c>
      <c r="F67" s="364" t="s">
        <v>246</v>
      </c>
      <c r="G67" s="366"/>
      <c r="H67" s="366"/>
    </row>
    <row r="68" ht="15" customHeight="1" spans="1:8">
      <c r="A68" s="365"/>
      <c r="B68" s="364" t="s">
        <v>247</v>
      </c>
      <c r="C68" s="369"/>
      <c r="D68" s="369"/>
      <c r="E68" s="365" t="s">
        <v>248</v>
      </c>
      <c r="F68" s="364" t="s">
        <v>249</v>
      </c>
      <c r="G68" s="366"/>
      <c r="H68" s="366"/>
    </row>
    <row r="69" ht="15" customHeight="1" spans="1:8">
      <c r="A69" s="365"/>
      <c r="B69" s="364" t="s">
        <v>250</v>
      </c>
      <c r="C69" s="369"/>
      <c r="D69" s="369"/>
      <c r="E69" s="365" t="s">
        <v>251</v>
      </c>
      <c r="F69" s="364" t="s">
        <v>252</v>
      </c>
      <c r="G69" s="366"/>
      <c r="H69" s="366"/>
    </row>
    <row r="70" ht="15" customHeight="1" spans="1:8">
      <c r="A70" s="365"/>
      <c r="B70" s="364" t="s">
        <v>253</v>
      </c>
      <c r="C70" s="369"/>
      <c r="D70" s="369"/>
      <c r="E70" s="365" t="s">
        <v>254</v>
      </c>
      <c r="F70" s="364" t="s">
        <v>255</v>
      </c>
      <c r="G70" s="366"/>
      <c r="H70" s="366"/>
    </row>
    <row r="71" ht="15" customHeight="1" spans="1:8">
      <c r="A71" s="365"/>
      <c r="B71" s="364" t="s">
        <v>256</v>
      </c>
      <c r="C71" s="369"/>
      <c r="D71" s="369"/>
      <c r="E71" s="365" t="s">
        <v>257</v>
      </c>
      <c r="F71" s="364" t="s">
        <v>258</v>
      </c>
      <c r="G71" s="366"/>
      <c r="H71" s="366"/>
    </row>
    <row r="72" ht="15" customHeight="1" spans="1:8">
      <c r="A72" s="365"/>
      <c r="B72" s="364" t="s">
        <v>259</v>
      </c>
      <c r="C72" s="369"/>
      <c r="D72" s="369"/>
      <c r="E72" s="365" t="s">
        <v>260</v>
      </c>
      <c r="F72" s="364" t="s">
        <v>261</v>
      </c>
      <c r="G72" s="366"/>
      <c r="H72" s="366"/>
    </row>
    <row r="73" ht="15" customHeight="1" spans="1:8">
      <c r="A73" s="365"/>
      <c r="B73" s="364" t="s">
        <v>262</v>
      </c>
      <c r="C73" s="369"/>
      <c r="D73" s="369"/>
      <c r="E73" s="365" t="s">
        <v>263</v>
      </c>
      <c r="F73" s="364" t="s">
        <v>264</v>
      </c>
      <c r="G73" s="366"/>
      <c r="H73" s="366"/>
    </row>
    <row r="74" ht="15" customHeight="1" spans="1:11">
      <c r="A74" s="365"/>
      <c r="B74" s="364" t="s">
        <v>265</v>
      </c>
      <c r="C74" s="369"/>
      <c r="D74" s="369"/>
      <c r="E74" s="365" t="s">
        <v>266</v>
      </c>
      <c r="F74" s="364" t="s">
        <v>267</v>
      </c>
      <c r="G74" s="366">
        <f>资产负债表合并过程!K72</f>
        <v>3049044.521</v>
      </c>
      <c r="H74" s="367">
        <f>资产负债表合并过程!K152+222064.74</f>
        <v>1248557.08</v>
      </c>
      <c r="J74" s="239">
        <f>H74+利润表2020!G14</f>
        <v>3049044.521</v>
      </c>
      <c r="K74" s="374">
        <f>G74-J74</f>
        <v>0</v>
      </c>
    </row>
    <row r="75" ht="15" customHeight="1" spans="1:8">
      <c r="A75" s="365"/>
      <c r="B75" s="364" t="s">
        <v>268</v>
      </c>
      <c r="C75" s="369"/>
      <c r="D75" s="369"/>
      <c r="E75" s="368" t="s">
        <v>269</v>
      </c>
      <c r="F75" s="364" t="s">
        <v>270</v>
      </c>
      <c r="G75" s="366">
        <f>G51+G74+G62</f>
        <v>54356644.521</v>
      </c>
      <c r="H75" s="366">
        <f>H51+H74+H62</f>
        <v>52556157.08</v>
      </c>
    </row>
    <row r="76" ht="15" customHeight="1" spans="1:14">
      <c r="A76" s="365"/>
      <c r="B76" s="364" t="s">
        <v>271</v>
      </c>
      <c r="C76" s="369"/>
      <c r="D76" s="369"/>
      <c r="E76" s="365" t="s">
        <v>272</v>
      </c>
      <c r="F76" s="364" t="s">
        <v>273</v>
      </c>
      <c r="G76" s="366"/>
      <c r="H76" s="366"/>
      <c r="N76" s="239"/>
    </row>
    <row r="77" ht="15" customHeight="1" spans="1:8">
      <c r="A77" s="365"/>
      <c r="B77" s="364" t="s">
        <v>274</v>
      </c>
      <c r="C77" s="364"/>
      <c r="D77" s="364"/>
      <c r="E77" s="368" t="s">
        <v>275</v>
      </c>
      <c r="F77" s="364" t="s">
        <v>276</v>
      </c>
      <c r="G77" s="366">
        <f>资产负债表合并过程!K75</f>
        <v>54356644.521</v>
      </c>
      <c r="H77" s="366">
        <f>H75</f>
        <v>52556157.08</v>
      </c>
    </row>
    <row r="78" ht="15" customHeight="1" spans="1:8">
      <c r="A78" s="368" t="s">
        <v>277</v>
      </c>
      <c r="B78" s="364" t="s">
        <v>278</v>
      </c>
      <c r="C78" s="366">
        <f>C56+C29</f>
        <v>63485942.482</v>
      </c>
      <c r="D78" s="366">
        <f>D56+D29</f>
        <v>57101343.551</v>
      </c>
      <c r="E78" s="368" t="s">
        <v>279</v>
      </c>
      <c r="F78" s="364" t="s">
        <v>280</v>
      </c>
      <c r="G78" s="366">
        <f>G77+G49</f>
        <v>63485942.481</v>
      </c>
      <c r="H78" s="366">
        <f>H77+H49</f>
        <v>57101343.55</v>
      </c>
    </row>
    <row r="79" ht="13.5" spans="1:8">
      <c r="A79" s="370" t="s">
        <v>281</v>
      </c>
      <c r="B79" s="371"/>
      <c r="C79" s="371"/>
      <c r="D79" s="371"/>
      <c r="E79" s="372"/>
      <c r="F79" s="371"/>
      <c r="G79" s="371"/>
      <c r="H79" s="371"/>
    </row>
    <row r="80" ht="24" customHeight="1" spans="1:6">
      <c r="A80" s="373" t="s">
        <v>282</v>
      </c>
      <c r="D80" s="273" t="s">
        <v>283</v>
      </c>
      <c r="F80" s="273" t="s">
        <v>284</v>
      </c>
    </row>
    <row r="83" spans="2:4">
      <c r="B83" s="273" t="s">
        <v>285</v>
      </c>
      <c r="C83" s="239">
        <f>C78-G78</f>
        <v>0.00100000947713852</v>
      </c>
      <c r="D83" s="239">
        <f>D78-H78</f>
        <v>0.00100000947713852</v>
      </c>
    </row>
    <row r="86" spans="2:7">
      <c r="B86" s="273" t="s">
        <v>285</v>
      </c>
      <c r="C86" s="274">
        <f>C78-资产负债表合并过程!C76</f>
        <v>0</v>
      </c>
      <c r="D86" s="274"/>
      <c r="G86" s="274"/>
    </row>
    <row r="87" spans="7:7">
      <c r="G87" s="239"/>
    </row>
  </sheetData>
  <mergeCells count="5">
    <mergeCell ref="A1:H1"/>
    <mergeCell ref="F2:G2"/>
    <mergeCell ref="A3:C3"/>
    <mergeCell ref="D3:G3"/>
    <mergeCell ref="A79:H79"/>
  </mergeCells>
  <printOptions horizontalCentered="1"/>
  <pageMargins left="0.751388888888889" right="0.751388888888889" top="1" bottom="1" header="0.5" footer="0.5"/>
  <pageSetup paperSize="9" scale="56" orientation="portrait" horizontalDpi="600"/>
  <headerFooter>
    <oddFooter>&amp;C4</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4"/>
  <sheetViews>
    <sheetView zoomScale="60" zoomScaleNormal="60" workbookViewId="0">
      <selection activeCell="D53" sqref="D53"/>
    </sheetView>
  </sheetViews>
  <sheetFormatPr defaultColWidth="9" defaultRowHeight="12.75"/>
  <cols>
    <col min="1" max="1" width="45.125" style="67" customWidth="1"/>
    <col min="2" max="2" width="16" style="68" customWidth="1"/>
    <col min="3" max="3" width="12.75" style="68" customWidth="1"/>
    <col min="4" max="4" width="10.75" style="68" customWidth="1"/>
    <col min="5" max="5" width="11.75" style="68" customWidth="1"/>
    <col min="6" max="6" width="13.25" style="68" customWidth="1"/>
    <col min="7" max="7" width="14.875" style="68" customWidth="1"/>
    <col min="8" max="8" width="14.75" style="68" customWidth="1"/>
    <col min="9" max="9" width="13.625" style="68" customWidth="1"/>
    <col min="10" max="10" width="10.25" style="68" customWidth="1"/>
    <col min="11" max="11" width="13.125" style="68" customWidth="1"/>
    <col min="12" max="12" width="13.25" style="68" customWidth="1"/>
    <col min="13" max="13" width="14" style="68" customWidth="1"/>
    <col min="14" max="14" width="9" style="69"/>
    <col min="15" max="15" width="11.8833333333333" style="69"/>
    <col min="16" max="17" width="9" style="69"/>
    <col min="18" max="18" width="11.9666666666667" style="69"/>
    <col min="19" max="16384" width="9" style="69"/>
  </cols>
  <sheetData>
    <row r="1" ht="30" customHeight="1" spans="1:13">
      <c r="A1" s="70" t="s">
        <v>455</v>
      </c>
      <c r="B1" s="71"/>
      <c r="C1" s="112"/>
      <c r="D1" s="71"/>
      <c r="E1" s="71"/>
      <c r="F1" s="71"/>
      <c r="G1" s="71"/>
      <c r="H1" s="71"/>
      <c r="I1" s="71"/>
      <c r="J1" s="71"/>
      <c r="K1" s="71"/>
      <c r="L1" s="71"/>
      <c r="M1" s="71"/>
    </row>
    <row r="2" ht="18" customHeight="1" spans="1:13">
      <c r="A2" s="72" t="s">
        <v>513</v>
      </c>
      <c r="B2" s="72"/>
      <c r="C2" s="75"/>
      <c r="D2" s="72"/>
      <c r="E2" s="72"/>
      <c r="F2" s="72"/>
      <c r="G2" s="72"/>
      <c r="H2" s="72"/>
      <c r="I2" s="72"/>
      <c r="J2" s="72"/>
      <c r="K2" s="72"/>
      <c r="L2" s="72"/>
      <c r="M2" s="72"/>
    </row>
    <row r="3" s="65" customFormat="1" ht="18" customHeight="1" spans="1:13">
      <c r="A3" s="73" t="s">
        <v>514</v>
      </c>
      <c r="B3" s="74"/>
      <c r="C3" s="74"/>
      <c r="D3" s="75"/>
      <c r="E3" s="75"/>
      <c r="F3" s="75"/>
      <c r="G3" s="74"/>
      <c r="H3" s="74"/>
      <c r="I3" s="103"/>
      <c r="J3" s="104"/>
      <c r="K3" s="104"/>
      <c r="L3" s="105" t="s">
        <v>515</v>
      </c>
      <c r="M3" s="104"/>
    </row>
    <row r="4" s="66" customFormat="1" ht="15.95" customHeight="1" spans="1:13">
      <c r="A4" s="113" t="s">
        <v>456</v>
      </c>
      <c r="B4" s="80" t="s">
        <v>288</v>
      </c>
      <c r="C4" s="114"/>
      <c r="D4" s="114"/>
      <c r="E4" s="114"/>
      <c r="F4" s="114"/>
      <c r="G4" s="114"/>
      <c r="H4" s="80" t="s">
        <v>289</v>
      </c>
      <c r="I4" s="114"/>
      <c r="J4" s="114"/>
      <c r="K4" s="114"/>
      <c r="L4" s="114"/>
      <c r="M4" s="114"/>
    </row>
    <row r="5" s="66" customFormat="1" ht="15.95" customHeight="1" spans="1:13">
      <c r="A5" s="115"/>
      <c r="B5" s="80" t="s">
        <v>457</v>
      </c>
      <c r="C5" s="80" t="s">
        <v>458</v>
      </c>
      <c r="D5" s="80" t="s">
        <v>459</v>
      </c>
      <c r="E5" s="80" t="s">
        <v>460</v>
      </c>
      <c r="F5" s="80" t="s">
        <v>461</v>
      </c>
      <c r="G5" s="81" t="s">
        <v>462</v>
      </c>
      <c r="H5" s="80" t="s">
        <v>457</v>
      </c>
      <c r="I5" s="80" t="s">
        <v>458</v>
      </c>
      <c r="J5" s="80" t="s">
        <v>459</v>
      </c>
      <c r="K5" s="80" t="s">
        <v>460</v>
      </c>
      <c r="L5" s="80" t="s">
        <v>461</v>
      </c>
      <c r="M5" s="81" t="s">
        <v>462</v>
      </c>
    </row>
    <row r="6" s="65" customFormat="1" ht="15.95" customHeight="1" spans="1:13">
      <c r="A6" s="116" t="s">
        <v>463</v>
      </c>
      <c r="B6" s="87">
        <f>H32</f>
        <v>50000000</v>
      </c>
      <c r="C6" s="87">
        <f>I32</f>
        <v>1307600</v>
      </c>
      <c r="D6" s="87"/>
      <c r="E6" s="87"/>
      <c r="F6" s="88">
        <f>L32</f>
        <v>-358894.53</v>
      </c>
      <c r="G6" s="90">
        <f t="shared" ref="G6:G11" si="0">SUM(B6:F6)</f>
        <v>50948705.47</v>
      </c>
      <c r="H6" s="87">
        <v>50000000</v>
      </c>
      <c r="I6" s="87"/>
      <c r="J6" s="87"/>
      <c r="K6" s="87"/>
      <c r="L6" s="88">
        <v>0</v>
      </c>
      <c r="M6" s="87">
        <f t="shared" ref="M6:M11" si="1">SUM(H6:L6)</f>
        <v>50000000</v>
      </c>
    </row>
    <row r="7" s="65" customFormat="1" ht="15.95" customHeight="1" spans="1:13">
      <c r="A7" s="117" t="s">
        <v>464</v>
      </c>
      <c r="B7" s="87"/>
      <c r="C7" s="88"/>
      <c r="D7" s="87"/>
      <c r="E7" s="87"/>
      <c r="F7" s="88"/>
      <c r="G7" s="90"/>
      <c r="H7" s="87"/>
      <c r="I7" s="88"/>
      <c r="J7" s="87"/>
      <c r="K7" s="87"/>
      <c r="L7" s="88"/>
      <c r="M7" s="87"/>
    </row>
    <row r="8" s="65" customFormat="1" ht="15.95" customHeight="1" spans="1:13">
      <c r="A8" s="117" t="s">
        <v>465</v>
      </c>
      <c r="B8" s="87"/>
      <c r="C8" s="88"/>
      <c r="D8" s="87"/>
      <c r="E8" s="87"/>
      <c r="F8" s="88"/>
      <c r="G8" s="90"/>
      <c r="H8" s="87"/>
      <c r="I8" s="88"/>
      <c r="J8" s="87"/>
      <c r="K8" s="87"/>
      <c r="L8" s="87"/>
      <c r="M8" s="87"/>
    </row>
    <row r="9" s="65" customFormat="1" ht="15.95" customHeight="1" spans="1:13">
      <c r="A9" s="116" t="s">
        <v>466</v>
      </c>
      <c r="B9" s="87">
        <f>B6+B7+B8</f>
        <v>50000000</v>
      </c>
      <c r="C9" s="87"/>
      <c r="D9" s="87"/>
      <c r="E9" s="87"/>
      <c r="F9" s="87">
        <f>F6+F7+F8</f>
        <v>-358894.53</v>
      </c>
      <c r="G9" s="87">
        <f>G6+G7+G8</f>
        <v>50948705.47</v>
      </c>
      <c r="H9" s="87">
        <v>50000000</v>
      </c>
      <c r="I9" s="87"/>
      <c r="J9" s="87"/>
      <c r="K9" s="87"/>
      <c r="L9" s="87">
        <f>L6+L7+L8</f>
        <v>0</v>
      </c>
      <c r="M9" s="87">
        <f t="shared" si="1"/>
        <v>50000000</v>
      </c>
    </row>
    <row r="10" s="65" customFormat="1" ht="15.95" customHeight="1" spans="1:13">
      <c r="A10" s="116" t="s">
        <v>467</v>
      </c>
      <c r="B10" s="87">
        <f>B14</f>
        <v>0</v>
      </c>
      <c r="C10" s="88">
        <f>C13+C18+C31</f>
        <v>1307600</v>
      </c>
      <c r="D10" s="88"/>
      <c r="E10" s="88"/>
      <c r="F10" s="88">
        <f>F13+F1+F31</f>
        <v>1137252.12</v>
      </c>
      <c r="G10" s="90">
        <f t="shared" si="0"/>
        <v>2444852.12</v>
      </c>
      <c r="H10" s="87"/>
      <c r="I10" s="87">
        <f>I11+I12</f>
        <v>1307600</v>
      </c>
      <c r="J10" s="87"/>
      <c r="K10" s="87"/>
      <c r="L10" s="87">
        <f>L13+L18+L31</f>
        <v>-358894.53</v>
      </c>
      <c r="M10" s="87">
        <f t="shared" si="1"/>
        <v>948705.47</v>
      </c>
    </row>
    <row r="11" s="65" customFormat="1" ht="15.95" customHeight="1" spans="1:13">
      <c r="A11" s="118" t="s">
        <v>468</v>
      </c>
      <c r="B11" s="87"/>
      <c r="C11" s="88">
        <v>1307600</v>
      </c>
      <c r="D11" s="87"/>
      <c r="E11" s="87"/>
      <c r="F11" s="89">
        <f>利润表合并过程!L12</f>
        <v>1137252.12</v>
      </c>
      <c r="G11" s="90">
        <f t="shared" si="0"/>
        <v>2444852.12</v>
      </c>
      <c r="H11" s="87"/>
      <c r="I11" s="88">
        <v>1307600</v>
      </c>
      <c r="J11" s="87"/>
      <c r="K11" s="87"/>
      <c r="L11" s="89">
        <v>-358894.53</v>
      </c>
      <c r="M11" s="87">
        <f t="shared" si="1"/>
        <v>948705.47</v>
      </c>
    </row>
    <row r="12" s="65" customFormat="1" ht="15.95" customHeight="1" spans="1:13">
      <c r="A12" s="118" t="s">
        <v>469</v>
      </c>
      <c r="B12" s="87"/>
      <c r="C12" s="88"/>
      <c r="D12" s="87"/>
      <c r="E12" s="87"/>
      <c r="F12" s="88"/>
      <c r="G12" s="90"/>
      <c r="H12" s="87"/>
      <c r="I12" s="88"/>
      <c r="J12" s="87"/>
      <c r="K12" s="87"/>
      <c r="L12" s="87"/>
      <c r="M12" s="87"/>
    </row>
    <row r="13" s="65" customFormat="1" ht="15.95" customHeight="1" spans="1:13">
      <c r="A13" s="116" t="s">
        <v>470</v>
      </c>
      <c r="B13" s="87"/>
      <c r="C13" s="87">
        <f>C11+C12</f>
        <v>1307600</v>
      </c>
      <c r="D13" s="87"/>
      <c r="E13" s="87"/>
      <c r="F13" s="87">
        <f>F11+F12</f>
        <v>1137252.12</v>
      </c>
      <c r="G13" s="90">
        <f>SUM(B13:F13)</f>
        <v>2444852.12</v>
      </c>
      <c r="H13" s="87"/>
      <c r="I13" s="88"/>
      <c r="J13" s="87"/>
      <c r="K13" s="87"/>
      <c r="L13" s="87">
        <f>L11+L12</f>
        <v>-358894.53</v>
      </c>
      <c r="M13" s="87">
        <f>SUM(H13:L13)</f>
        <v>-358894.53</v>
      </c>
    </row>
    <row r="14" s="65" customFormat="1" ht="15.95" customHeight="1" spans="1:13">
      <c r="A14" s="116" t="s">
        <v>471</v>
      </c>
      <c r="B14" s="87">
        <f>B15</f>
        <v>0</v>
      </c>
      <c r="C14" s="87"/>
      <c r="D14" s="87"/>
      <c r="E14" s="87"/>
      <c r="F14" s="87"/>
      <c r="G14" s="90"/>
      <c r="H14" s="87"/>
      <c r="I14" s="87"/>
      <c r="J14" s="87"/>
      <c r="K14" s="87"/>
      <c r="L14" s="87"/>
      <c r="M14" s="87"/>
    </row>
    <row r="15" s="65" customFormat="1" ht="15.95" customHeight="1" spans="1:13">
      <c r="A15" s="119" t="s">
        <v>472</v>
      </c>
      <c r="B15" s="87">
        <v>0</v>
      </c>
      <c r="C15" s="88"/>
      <c r="D15" s="87"/>
      <c r="E15" s="87"/>
      <c r="F15" s="93"/>
      <c r="G15" s="90"/>
      <c r="H15" s="87"/>
      <c r="I15" s="88"/>
      <c r="J15" s="87"/>
      <c r="K15" s="87"/>
      <c r="L15" s="87"/>
      <c r="M15" s="87"/>
    </row>
    <row r="16" s="65" customFormat="1" ht="15.95" customHeight="1" spans="1:13">
      <c r="A16" s="119" t="s">
        <v>473</v>
      </c>
      <c r="B16" s="87"/>
      <c r="C16" s="88"/>
      <c r="D16" s="91"/>
      <c r="E16" s="87"/>
      <c r="F16" s="93"/>
      <c r="G16" s="90"/>
      <c r="H16" s="87"/>
      <c r="I16" s="88"/>
      <c r="J16" s="87"/>
      <c r="K16" s="87"/>
      <c r="L16" s="87"/>
      <c r="M16" s="87"/>
    </row>
    <row r="17" s="65" customFormat="1" ht="15.95" customHeight="1" spans="1:13">
      <c r="A17" s="119" t="s">
        <v>474</v>
      </c>
      <c r="B17" s="87"/>
      <c r="C17" s="88"/>
      <c r="D17" s="87"/>
      <c r="E17" s="87"/>
      <c r="F17" s="88"/>
      <c r="G17" s="90"/>
      <c r="H17" s="87"/>
      <c r="I17" s="88"/>
      <c r="J17" s="87"/>
      <c r="K17" s="87"/>
      <c r="L17" s="87"/>
      <c r="M17" s="87"/>
    </row>
    <row r="18" s="65" customFormat="1" ht="15.95" customHeight="1" spans="1:13">
      <c r="A18" s="116" t="s">
        <v>475</v>
      </c>
      <c r="B18" s="87"/>
      <c r="C18" s="88">
        <v>0</v>
      </c>
      <c r="D18" s="87"/>
      <c r="E18" s="87"/>
      <c r="F18" s="87"/>
      <c r="G18" s="90"/>
      <c r="H18" s="87"/>
      <c r="I18" s="88"/>
      <c r="J18" s="87"/>
      <c r="K18" s="87"/>
      <c r="L18" s="87"/>
      <c r="M18" s="87"/>
    </row>
    <row r="19" s="65" customFormat="1" ht="15.95" customHeight="1" spans="1:13">
      <c r="A19" s="119" t="s">
        <v>476</v>
      </c>
      <c r="B19" s="87"/>
      <c r="C19" s="88"/>
      <c r="D19" s="87"/>
      <c r="E19" s="87"/>
      <c r="F19" s="87"/>
      <c r="G19" s="90"/>
      <c r="H19" s="87"/>
      <c r="I19" s="88"/>
      <c r="J19" s="87"/>
      <c r="K19" s="87"/>
      <c r="L19" s="87"/>
      <c r="M19" s="87"/>
    </row>
    <row r="20" s="65" customFormat="1" ht="15.95" customHeight="1" spans="1:13">
      <c r="A20" s="119" t="s">
        <v>477</v>
      </c>
      <c r="B20" s="87"/>
      <c r="C20" s="88"/>
      <c r="D20" s="87"/>
      <c r="E20" s="87"/>
      <c r="F20" s="88"/>
      <c r="G20" s="90"/>
      <c r="H20" s="87"/>
      <c r="I20" s="88"/>
      <c r="J20" s="87"/>
      <c r="K20" s="87"/>
      <c r="L20" s="87"/>
      <c r="M20" s="87"/>
    </row>
    <row r="21" s="65" customFormat="1" ht="15.95" customHeight="1" spans="1:13">
      <c r="A21" s="118" t="s">
        <v>478</v>
      </c>
      <c r="B21" s="87"/>
      <c r="C21" s="88"/>
      <c r="D21" s="87"/>
      <c r="E21" s="87"/>
      <c r="F21" s="88"/>
      <c r="G21" s="90"/>
      <c r="H21" s="87"/>
      <c r="I21" s="88"/>
      <c r="J21" s="87"/>
      <c r="K21" s="87"/>
      <c r="L21" s="87"/>
      <c r="M21" s="87"/>
    </row>
    <row r="22" s="65" customFormat="1" ht="15.95" customHeight="1" spans="1:13">
      <c r="A22" s="119" t="s">
        <v>474</v>
      </c>
      <c r="B22" s="87"/>
      <c r="C22" s="93"/>
      <c r="D22" s="87"/>
      <c r="E22" s="87"/>
      <c r="F22" s="88"/>
      <c r="G22" s="90"/>
      <c r="H22" s="87"/>
      <c r="I22" s="109"/>
      <c r="J22" s="87"/>
      <c r="K22" s="87"/>
      <c r="L22" s="87"/>
      <c r="M22" s="87"/>
    </row>
    <row r="23" s="65" customFormat="1" ht="15.95" customHeight="1" spans="1:13">
      <c r="A23" s="116" t="s">
        <v>479</v>
      </c>
      <c r="B23" s="87"/>
      <c r="C23" s="93"/>
      <c r="D23" s="90"/>
      <c r="E23" s="87"/>
      <c r="F23" s="88"/>
      <c r="G23" s="90"/>
      <c r="H23" s="87"/>
      <c r="I23" s="87"/>
      <c r="J23" s="87"/>
      <c r="K23" s="87"/>
      <c r="L23" s="87"/>
      <c r="M23" s="87"/>
    </row>
    <row r="24" s="65" customFormat="1" ht="15.95" customHeight="1" spans="1:13">
      <c r="A24" s="119" t="s">
        <v>480</v>
      </c>
      <c r="B24" s="87"/>
      <c r="C24" s="87"/>
      <c r="D24" s="87"/>
      <c r="E24" s="87"/>
      <c r="F24" s="88"/>
      <c r="G24" s="90"/>
      <c r="H24" s="87"/>
      <c r="I24" s="88"/>
      <c r="J24" s="87"/>
      <c r="K24" s="87"/>
      <c r="L24" s="87"/>
      <c r="M24" s="87"/>
    </row>
    <row r="25" s="65" customFormat="1" ht="15.95" customHeight="1" spans="1:13">
      <c r="A25" s="119" t="s">
        <v>481</v>
      </c>
      <c r="B25" s="87"/>
      <c r="C25" s="87"/>
      <c r="D25" s="87"/>
      <c r="E25" s="87"/>
      <c r="F25" s="87"/>
      <c r="G25" s="90"/>
      <c r="H25" s="87"/>
      <c r="I25" s="88"/>
      <c r="J25" s="87"/>
      <c r="K25" s="87"/>
      <c r="L25" s="87"/>
      <c r="M25" s="87"/>
    </row>
    <row r="26" s="65" customFormat="1" ht="15.95" customHeight="1" spans="1:13">
      <c r="A26" s="119" t="s">
        <v>482</v>
      </c>
      <c r="B26" s="87"/>
      <c r="C26" s="87"/>
      <c r="D26" s="87"/>
      <c r="E26" s="87"/>
      <c r="F26" s="87"/>
      <c r="G26" s="90"/>
      <c r="H26" s="87"/>
      <c r="I26" s="88"/>
      <c r="J26" s="87"/>
      <c r="K26" s="87"/>
      <c r="L26" s="87"/>
      <c r="M26" s="87"/>
    </row>
    <row r="27" s="65" customFormat="1" ht="15.95" customHeight="1" spans="1:13">
      <c r="A27" s="119" t="s">
        <v>483</v>
      </c>
      <c r="B27" s="87"/>
      <c r="C27" s="87"/>
      <c r="D27" s="87"/>
      <c r="E27" s="87"/>
      <c r="F27" s="87"/>
      <c r="G27" s="90"/>
      <c r="H27" s="87"/>
      <c r="I27" s="88"/>
      <c r="J27" s="87"/>
      <c r="K27" s="87"/>
      <c r="L27" s="87"/>
      <c r="M27" s="87"/>
    </row>
    <row r="28" s="65" customFormat="1" ht="15.95" customHeight="1" spans="1:13">
      <c r="A28" s="116" t="s">
        <v>484</v>
      </c>
      <c r="B28" s="87"/>
      <c r="C28" s="87"/>
      <c r="D28" s="87"/>
      <c r="E28" s="87"/>
      <c r="F28" s="87"/>
      <c r="G28" s="90"/>
      <c r="H28" s="87"/>
      <c r="I28" s="88"/>
      <c r="J28" s="87"/>
      <c r="K28" s="87"/>
      <c r="L28" s="87"/>
      <c r="M28" s="87"/>
    </row>
    <row r="29" s="65" customFormat="1" ht="15.95" customHeight="1" spans="1:13">
      <c r="A29" s="119" t="s">
        <v>485</v>
      </c>
      <c r="B29" s="87"/>
      <c r="C29" s="87"/>
      <c r="D29" s="87"/>
      <c r="E29" s="87"/>
      <c r="F29" s="87"/>
      <c r="G29" s="90"/>
      <c r="H29" s="87"/>
      <c r="I29" s="88"/>
      <c r="J29" s="87"/>
      <c r="K29" s="87"/>
      <c r="L29" s="87"/>
      <c r="M29" s="87"/>
    </row>
    <row r="30" s="65" customFormat="1" ht="15.95" customHeight="1" spans="1:13">
      <c r="A30" s="119" t="s">
        <v>486</v>
      </c>
      <c r="B30" s="87"/>
      <c r="C30" s="87"/>
      <c r="D30" s="87"/>
      <c r="E30" s="87"/>
      <c r="F30" s="87"/>
      <c r="G30" s="90"/>
      <c r="H30" s="87"/>
      <c r="I30" s="88"/>
      <c r="J30" s="87"/>
      <c r="K30" s="87"/>
      <c r="L30" s="87"/>
      <c r="M30" s="87"/>
    </row>
    <row r="31" s="65" customFormat="1" ht="15.95" customHeight="1" spans="1:13">
      <c r="A31" s="116" t="s">
        <v>487</v>
      </c>
      <c r="B31" s="87"/>
      <c r="C31" s="87">
        <v>0</v>
      </c>
      <c r="D31" s="87"/>
      <c r="E31" s="87"/>
      <c r="F31" s="87"/>
      <c r="G31" s="90"/>
      <c r="H31" s="87"/>
      <c r="I31" s="88"/>
      <c r="J31" s="87"/>
      <c r="K31" s="87"/>
      <c r="L31" s="87"/>
      <c r="M31" s="87"/>
    </row>
    <row r="32" s="65" customFormat="1" ht="15.95" customHeight="1" spans="1:13">
      <c r="A32" s="116" t="s">
        <v>488</v>
      </c>
      <c r="B32" s="87">
        <f>B9+B10</f>
        <v>50000000</v>
      </c>
      <c r="C32" s="87">
        <f>C9+C10</f>
        <v>1307600</v>
      </c>
      <c r="D32" s="87"/>
      <c r="E32" s="87"/>
      <c r="F32" s="120">
        <f>F9+F10</f>
        <v>778357.590000001</v>
      </c>
      <c r="G32" s="90">
        <f>SUM(B32:F32)</f>
        <v>52085957.59</v>
      </c>
      <c r="H32" s="87">
        <v>50000000</v>
      </c>
      <c r="I32" s="87">
        <f>I9+I10</f>
        <v>1307600</v>
      </c>
      <c r="J32" s="87"/>
      <c r="K32" s="87"/>
      <c r="L32" s="87">
        <f>L9+L10</f>
        <v>-358894.53</v>
      </c>
      <c r="M32" s="87">
        <f>SUM(H32:L32)</f>
        <v>50948705.47</v>
      </c>
    </row>
    <row r="33" ht="33.75" customHeight="1" spans="1:10">
      <c r="A33" s="100" t="s">
        <v>516</v>
      </c>
      <c r="E33" s="101" t="s">
        <v>423</v>
      </c>
      <c r="J33" s="111" t="s">
        <v>490</v>
      </c>
    </row>
    <row r="36" spans="2:4">
      <c r="B36" s="102"/>
      <c r="C36" s="102"/>
      <c r="D36" s="102"/>
    </row>
    <row r="37" ht="22.5" spans="1:13">
      <c r="A37" s="70" t="s">
        <v>455</v>
      </c>
      <c r="B37" s="71"/>
      <c r="C37" s="71"/>
      <c r="D37" s="71"/>
      <c r="E37" s="71"/>
      <c r="F37" s="71"/>
      <c r="G37" s="71"/>
      <c r="H37" s="71"/>
      <c r="I37" s="71"/>
      <c r="J37" s="71"/>
      <c r="K37" s="71"/>
      <c r="L37" s="71"/>
      <c r="M37" s="71"/>
    </row>
    <row r="38" ht="15" spans="1:13">
      <c r="A38" s="72" t="s">
        <v>513</v>
      </c>
      <c r="B38" s="72"/>
      <c r="C38" s="72"/>
      <c r="D38" s="72"/>
      <c r="E38" s="72"/>
      <c r="F38" s="72"/>
      <c r="G38" s="72"/>
      <c r="H38" s="72"/>
      <c r="I38" s="72"/>
      <c r="J38" s="72"/>
      <c r="K38" s="72"/>
      <c r="L38" s="72"/>
      <c r="M38" s="72"/>
    </row>
    <row r="39" ht="15" spans="1:13">
      <c r="A39" s="73" t="s">
        <v>517</v>
      </c>
      <c r="B39" s="74"/>
      <c r="C39" s="74"/>
      <c r="D39" s="75"/>
      <c r="E39" s="75"/>
      <c r="F39" s="75"/>
      <c r="G39" s="74"/>
      <c r="H39" s="74"/>
      <c r="I39" s="103"/>
      <c r="J39" s="104"/>
      <c r="K39" s="104"/>
      <c r="L39" s="105" t="s">
        <v>515</v>
      </c>
      <c r="M39" s="104"/>
    </row>
    <row r="40" ht="13.5" spans="1:13">
      <c r="A40" s="113" t="s">
        <v>456</v>
      </c>
      <c r="B40" s="80" t="s">
        <v>288</v>
      </c>
      <c r="C40" s="114"/>
      <c r="D40" s="114"/>
      <c r="E40" s="114"/>
      <c r="F40" s="114"/>
      <c r="G40" s="114"/>
      <c r="H40" s="80" t="s">
        <v>289</v>
      </c>
      <c r="I40" s="114"/>
      <c r="J40" s="114"/>
      <c r="K40" s="114"/>
      <c r="L40" s="114"/>
      <c r="M40" s="114"/>
    </row>
    <row r="41" ht="15" spans="1:13">
      <c r="A41" s="115"/>
      <c r="B41" s="80" t="s">
        <v>457</v>
      </c>
      <c r="C41" s="80" t="s">
        <v>458</v>
      </c>
      <c r="D41" s="80" t="s">
        <v>459</v>
      </c>
      <c r="E41" s="80" t="s">
        <v>460</v>
      </c>
      <c r="F41" s="80" t="s">
        <v>461</v>
      </c>
      <c r="G41" s="81" t="s">
        <v>462</v>
      </c>
      <c r="H41" s="80" t="s">
        <v>457</v>
      </c>
      <c r="I41" s="80" t="s">
        <v>458</v>
      </c>
      <c r="J41" s="80" t="s">
        <v>459</v>
      </c>
      <c r="K41" s="80" t="s">
        <v>460</v>
      </c>
      <c r="L41" s="80" t="s">
        <v>461</v>
      </c>
      <c r="M41" s="81" t="s">
        <v>462</v>
      </c>
    </row>
    <row r="42" ht="15" spans="1:13">
      <c r="A42" s="116" t="s">
        <v>463</v>
      </c>
      <c r="B42" s="87">
        <f>H68</f>
        <v>1307600</v>
      </c>
      <c r="C42" s="87"/>
      <c r="D42" s="87"/>
      <c r="E42" s="87"/>
      <c r="F42" s="88">
        <f>L68</f>
        <v>1385386.866</v>
      </c>
      <c r="G42" s="90">
        <f t="shared" ref="G42:G47" si="2">SUM(B42:F42)</f>
        <v>2692986.866</v>
      </c>
      <c r="H42" s="87">
        <f>H45</f>
        <v>819000</v>
      </c>
      <c r="I42" s="87"/>
      <c r="J42" s="87"/>
      <c r="K42" s="87"/>
      <c r="L42" s="88">
        <v>-264614.51</v>
      </c>
      <c r="M42" s="90">
        <f t="shared" ref="M42:M47" si="3">SUM(H42:L42)</f>
        <v>554385.49</v>
      </c>
    </row>
    <row r="43" ht="15" spans="1:13">
      <c r="A43" s="117" t="s">
        <v>464</v>
      </c>
      <c r="B43" s="87"/>
      <c r="C43" s="88"/>
      <c r="D43" s="87"/>
      <c r="E43" s="87"/>
      <c r="F43" s="88"/>
      <c r="G43" s="90"/>
      <c r="H43" s="87"/>
      <c r="I43" s="88"/>
      <c r="J43" s="87"/>
      <c r="K43" s="87"/>
      <c r="L43" s="88"/>
      <c r="M43" s="90"/>
    </row>
    <row r="44" ht="15" spans="1:13">
      <c r="A44" s="117" t="s">
        <v>465</v>
      </c>
      <c r="B44" s="87"/>
      <c r="C44" s="88"/>
      <c r="D44" s="87"/>
      <c r="E44" s="87"/>
      <c r="F44" s="88">
        <v>222064.74</v>
      </c>
      <c r="G44" s="90">
        <f t="shared" si="2"/>
        <v>222064.74</v>
      </c>
      <c r="H44" s="87"/>
      <c r="I44" s="88"/>
      <c r="J44" s="87"/>
      <c r="K44" s="87"/>
      <c r="L44" s="88">
        <v>1018942.796</v>
      </c>
      <c r="M44" s="90">
        <f t="shared" si="3"/>
        <v>1018942.796</v>
      </c>
    </row>
    <row r="45" ht="15" spans="1:13">
      <c r="A45" s="116" t="s">
        <v>466</v>
      </c>
      <c r="B45" s="87">
        <f t="shared" ref="B45:G45" si="4">B42+B43+B44</f>
        <v>1307600</v>
      </c>
      <c r="C45" s="87"/>
      <c r="D45" s="87"/>
      <c r="E45" s="87"/>
      <c r="F45" s="87">
        <f t="shared" si="4"/>
        <v>1607451.606</v>
      </c>
      <c r="G45" s="87">
        <f t="shared" si="4"/>
        <v>2915051.606</v>
      </c>
      <c r="H45" s="87">
        <v>819000</v>
      </c>
      <c r="I45" s="87"/>
      <c r="J45" s="87"/>
      <c r="K45" s="87"/>
      <c r="L45" s="87">
        <f>L42+L43+L44</f>
        <v>754328.286</v>
      </c>
      <c r="M45" s="87">
        <f>M42+M43+M44</f>
        <v>1573328.286</v>
      </c>
    </row>
    <row r="46" ht="15" spans="1:13">
      <c r="A46" s="116" t="s">
        <v>467</v>
      </c>
      <c r="B46" s="87">
        <f>B50</f>
        <v>0</v>
      </c>
      <c r="C46" s="88"/>
      <c r="D46" s="87"/>
      <c r="E46" s="87"/>
      <c r="F46" s="88">
        <f>F49+F54+F67</f>
        <v>1640081.911</v>
      </c>
      <c r="G46" s="90">
        <f t="shared" si="2"/>
        <v>1640081.911</v>
      </c>
      <c r="H46" s="87">
        <f>H50</f>
        <v>488600</v>
      </c>
      <c r="I46" s="88"/>
      <c r="J46" s="87"/>
      <c r="K46" s="87"/>
      <c r="L46" s="88">
        <f>L49+L54+L67</f>
        <v>631058.58</v>
      </c>
      <c r="M46" s="90">
        <f t="shared" si="3"/>
        <v>1119658.58</v>
      </c>
    </row>
    <row r="47" ht="15" spans="1:13">
      <c r="A47" s="118" t="s">
        <v>468</v>
      </c>
      <c r="B47" s="87"/>
      <c r="C47" s="88"/>
      <c r="D47" s="87"/>
      <c r="E47" s="87"/>
      <c r="F47" s="89">
        <f>利润表合并过程!M12</f>
        <v>1640081.911</v>
      </c>
      <c r="G47" s="90">
        <f t="shared" si="2"/>
        <v>1640081.911</v>
      </c>
      <c r="H47" s="87"/>
      <c r="I47" s="88"/>
      <c r="J47" s="87"/>
      <c r="K47" s="87"/>
      <c r="L47" s="89">
        <f>利润表合并过程!M49</f>
        <v>631058.58</v>
      </c>
      <c r="M47" s="90">
        <f t="shared" si="3"/>
        <v>631058.58</v>
      </c>
    </row>
    <row r="48" ht="15" spans="1:13">
      <c r="A48" s="118" t="s">
        <v>469</v>
      </c>
      <c r="B48" s="87"/>
      <c r="C48" s="88"/>
      <c r="D48" s="87"/>
      <c r="E48" s="87"/>
      <c r="F48" s="88"/>
      <c r="G48" s="90"/>
      <c r="H48" s="87"/>
      <c r="I48" s="88"/>
      <c r="J48" s="87"/>
      <c r="K48" s="87"/>
      <c r="L48" s="88"/>
      <c r="M48" s="90"/>
    </row>
    <row r="49" ht="15" spans="1:13">
      <c r="A49" s="116" t="s">
        <v>470</v>
      </c>
      <c r="B49" s="87"/>
      <c r="C49" s="88"/>
      <c r="D49" s="91"/>
      <c r="E49" s="87"/>
      <c r="F49" s="87">
        <f>F47+F48</f>
        <v>1640081.911</v>
      </c>
      <c r="G49" s="90">
        <f>SUM(B49:F49)</f>
        <v>1640081.911</v>
      </c>
      <c r="H49" s="87"/>
      <c r="I49" s="88"/>
      <c r="J49" s="91"/>
      <c r="K49" s="87"/>
      <c r="L49" s="87">
        <f>L47+L48</f>
        <v>631058.58</v>
      </c>
      <c r="M49" s="90">
        <f>SUM(H49:L49)</f>
        <v>631058.58</v>
      </c>
    </row>
    <row r="50" ht="15" spans="1:13">
      <c r="A50" s="116" t="s">
        <v>471</v>
      </c>
      <c r="B50" s="87">
        <f>B51</f>
        <v>0</v>
      </c>
      <c r="C50" s="87"/>
      <c r="D50" s="87"/>
      <c r="E50" s="87"/>
      <c r="F50" s="87"/>
      <c r="G50" s="90"/>
      <c r="H50" s="87">
        <f>H51</f>
        <v>488600</v>
      </c>
      <c r="I50" s="87"/>
      <c r="J50" s="87"/>
      <c r="K50" s="87"/>
      <c r="L50" s="87"/>
      <c r="M50" s="90"/>
    </row>
    <row r="51" ht="15" spans="1:13">
      <c r="A51" s="119" t="s">
        <v>472</v>
      </c>
      <c r="B51" s="87"/>
      <c r="C51" s="88"/>
      <c r="D51" s="87"/>
      <c r="E51" s="87"/>
      <c r="F51" s="93"/>
      <c r="G51" s="90"/>
      <c r="H51" s="87">
        <v>488600</v>
      </c>
      <c r="I51" s="88"/>
      <c r="J51" s="87"/>
      <c r="K51" s="87"/>
      <c r="L51" s="93"/>
      <c r="M51" s="90"/>
    </row>
    <row r="52" ht="15" spans="1:13">
      <c r="A52" s="119" t="s">
        <v>473</v>
      </c>
      <c r="B52" s="87"/>
      <c r="C52" s="88"/>
      <c r="D52" s="91"/>
      <c r="E52" s="87"/>
      <c r="F52" s="93"/>
      <c r="G52" s="90"/>
      <c r="H52" s="87"/>
      <c r="I52" s="88"/>
      <c r="J52" s="91"/>
      <c r="K52" s="87"/>
      <c r="L52" s="93"/>
      <c r="M52" s="90"/>
    </row>
    <row r="53" ht="15" spans="1:13">
      <c r="A53" s="119" t="s">
        <v>474</v>
      </c>
      <c r="B53" s="87"/>
      <c r="C53" s="88"/>
      <c r="D53" s="87"/>
      <c r="E53" s="87"/>
      <c r="F53" s="88"/>
      <c r="G53" s="90"/>
      <c r="H53" s="87"/>
      <c r="I53" s="88"/>
      <c r="J53" s="87"/>
      <c r="K53" s="87"/>
      <c r="L53" s="88"/>
      <c r="M53" s="90"/>
    </row>
    <row r="54" ht="15" spans="1:13">
      <c r="A54" s="116" t="s">
        <v>475</v>
      </c>
      <c r="B54" s="87"/>
      <c r="C54" s="88"/>
      <c r="D54" s="87"/>
      <c r="E54" s="87"/>
      <c r="F54" s="87"/>
      <c r="G54" s="90"/>
      <c r="H54" s="87"/>
      <c r="I54" s="88"/>
      <c r="J54" s="87"/>
      <c r="K54" s="87"/>
      <c r="L54" s="87"/>
      <c r="M54" s="90"/>
    </row>
    <row r="55" ht="15" spans="1:13">
      <c r="A55" s="119" t="s">
        <v>476</v>
      </c>
      <c r="B55" s="87"/>
      <c r="C55" s="88"/>
      <c r="D55" s="87"/>
      <c r="E55" s="87"/>
      <c r="F55" s="87"/>
      <c r="G55" s="90"/>
      <c r="H55" s="87"/>
      <c r="I55" s="88"/>
      <c r="J55" s="87"/>
      <c r="K55" s="87"/>
      <c r="L55" s="87"/>
      <c r="M55" s="90"/>
    </row>
    <row r="56" ht="15" spans="1:13">
      <c r="A56" s="119" t="s">
        <v>477</v>
      </c>
      <c r="B56" s="87"/>
      <c r="C56" s="88"/>
      <c r="D56" s="87"/>
      <c r="E56" s="87"/>
      <c r="F56" s="88"/>
      <c r="G56" s="90"/>
      <c r="H56" s="87"/>
      <c r="I56" s="88"/>
      <c r="J56" s="87"/>
      <c r="K56" s="87"/>
      <c r="L56" s="88"/>
      <c r="M56" s="90"/>
    </row>
    <row r="57" ht="15" spans="1:13">
      <c r="A57" s="118" t="s">
        <v>478</v>
      </c>
      <c r="B57" s="87"/>
      <c r="C57" s="88"/>
      <c r="D57" s="87"/>
      <c r="E57" s="87"/>
      <c r="F57" s="88"/>
      <c r="G57" s="90"/>
      <c r="H57" s="87"/>
      <c r="I57" s="88"/>
      <c r="J57" s="87"/>
      <c r="K57" s="87"/>
      <c r="L57" s="88"/>
      <c r="M57" s="90"/>
    </row>
    <row r="58" ht="15" spans="1:13">
      <c r="A58" s="119" t="s">
        <v>474</v>
      </c>
      <c r="B58" s="87"/>
      <c r="C58" s="93"/>
      <c r="D58" s="87"/>
      <c r="E58" s="87"/>
      <c r="F58" s="88"/>
      <c r="G58" s="90"/>
      <c r="H58" s="87"/>
      <c r="I58" s="93"/>
      <c r="J58" s="87"/>
      <c r="K58" s="87"/>
      <c r="L58" s="88"/>
      <c r="M58" s="90"/>
    </row>
    <row r="59" ht="15" spans="1:13">
      <c r="A59" s="116" t="s">
        <v>479</v>
      </c>
      <c r="B59" s="87"/>
      <c r="C59" s="93"/>
      <c r="D59" s="90"/>
      <c r="E59" s="87"/>
      <c r="F59" s="88"/>
      <c r="G59" s="90"/>
      <c r="H59" s="87"/>
      <c r="I59" s="93"/>
      <c r="J59" s="90"/>
      <c r="K59" s="87"/>
      <c r="L59" s="88"/>
      <c r="M59" s="90"/>
    </row>
    <row r="60" ht="15" spans="1:13">
      <c r="A60" s="119" t="s">
        <v>480</v>
      </c>
      <c r="B60" s="87"/>
      <c r="C60" s="87"/>
      <c r="D60" s="87"/>
      <c r="E60" s="87"/>
      <c r="F60" s="88"/>
      <c r="G60" s="90"/>
      <c r="H60" s="87"/>
      <c r="I60" s="87"/>
      <c r="J60" s="87"/>
      <c r="K60" s="87"/>
      <c r="L60" s="88"/>
      <c r="M60" s="90"/>
    </row>
    <row r="61" ht="15" spans="1:13">
      <c r="A61" s="119" t="s">
        <v>481</v>
      </c>
      <c r="B61" s="87"/>
      <c r="C61" s="87"/>
      <c r="D61" s="87"/>
      <c r="E61" s="87"/>
      <c r="F61" s="87"/>
      <c r="G61" s="90"/>
      <c r="H61" s="87"/>
      <c r="I61" s="87"/>
      <c r="J61" s="87"/>
      <c r="K61" s="87"/>
      <c r="L61" s="87"/>
      <c r="M61" s="90"/>
    </row>
    <row r="62" ht="15" spans="1:13">
      <c r="A62" s="119" t="s">
        <v>482</v>
      </c>
      <c r="B62" s="87"/>
      <c r="C62" s="87"/>
      <c r="D62" s="87"/>
      <c r="E62" s="87"/>
      <c r="F62" s="87"/>
      <c r="G62" s="90"/>
      <c r="H62" s="87"/>
      <c r="I62" s="87"/>
      <c r="J62" s="87"/>
      <c r="K62" s="87"/>
      <c r="L62" s="87"/>
      <c r="M62" s="90"/>
    </row>
    <row r="63" ht="15" spans="1:13">
      <c r="A63" s="119" t="s">
        <v>483</v>
      </c>
      <c r="B63" s="87"/>
      <c r="C63" s="87"/>
      <c r="D63" s="87"/>
      <c r="E63" s="87"/>
      <c r="F63" s="87"/>
      <c r="G63" s="90"/>
      <c r="H63" s="87"/>
      <c r="I63" s="87"/>
      <c r="J63" s="87"/>
      <c r="K63" s="87"/>
      <c r="L63" s="87"/>
      <c r="M63" s="90"/>
    </row>
    <row r="64" ht="15" spans="1:13">
      <c r="A64" s="116" t="s">
        <v>484</v>
      </c>
      <c r="B64" s="87"/>
      <c r="C64" s="87"/>
      <c r="D64" s="87"/>
      <c r="E64" s="87"/>
      <c r="F64" s="87"/>
      <c r="G64" s="90"/>
      <c r="H64" s="87"/>
      <c r="I64" s="87"/>
      <c r="J64" s="87"/>
      <c r="K64" s="87"/>
      <c r="L64" s="87"/>
      <c r="M64" s="90"/>
    </row>
    <row r="65" ht="15" spans="1:13">
      <c r="A65" s="119" t="s">
        <v>485</v>
      </c>
      <c r="B65" s="87"/>
      <c r="C65" s="87"/>
      <c r="D65" s="87"/>
      <c r="E65" s="87"/>
      <c r="F65" s="87"/>
      <c r="G65" s="90"/>
      <c r="H65" s="87"/>
      <c r="I65" s="87"/>
      <c r="J65" s="87"/>
      <c r="K65" s="87"/>
      <c r="L65" s="87"/>
      <c r="M65" s="90"/>
    </row>
    <row r="66" ht="15" spans="1:13">
      <c r="A66" s="119" t="s">
        <v>486</v>
      </c>
      <c r="B66" s="87"/>
      <c r="C66" s="87"/>
      <c r="D66" s="87"/>
      <c r="E66" s="87"/>
      <c r="F66" s="87"/>
      <c r="G66" s="90"/>
      <c r="H66" s="87"/>
      <c r="I66" s="87"/>
      <c r="J66" s="87"/>
      <c r="K66" s="87"/>
      <c r="L66" s="87"/>
      <c r="M66" s="90"/>
    </row>
    <row r="67" ht="15" spans="1:18">
      <c r="A67" s="116" t="s">
        <v>487</v>
      </c>
      <c r="B67" s="87"/>
      <c r="C67" s="87"/>
      <c r="D67" s="87"/>
      <c r="E67" s="87"/>
      <c r="F67" s="87"/>
      <c r="G67" s="90"/>
      <c r="H67" s="87"/>
      <c r="I67" s="87"/>
      <c r="J67" s="87"/>
      <c r="K67" s="87"/>
      <c r="L67" s="87"/>
      <c r="M67" s="90"/>
      <c r="R67" s="68">
        <f>O68-资产负债表2020!H77</f>
        <v>1085535.256</v>
      </c>
    </row>
    <row r="68" ht="15" spans="1:15">
      <c r="A68" s="116" t="s">
        <v>488</v>
      </c>
      <c r="B68" s="87">
        <f>B45+B46</f>
        <v>1307600</v>
      </c>
      <c r="C68" s="87"/>
      <c r="D68" s="87"/>
      <c r="E68" s="87"/>
      <c r="F68" s="120">
        <f>F45+F46</f>
        <v>3247533.517</v>
      </c>
      <c r="G68" s="90">
        <f>SUM(B68:F68)</f>
        <v>4555133.517</v>
      </c>
      <c r="H68" s="87">
        <f>H45+H46</f>
        <v>1307600</v>
      </c>
      <c r="I68" s="87"/>
      <c r="J68" s="87"/>
      <c r="K68" s="87"/>
      <c r="L68" s="120">
        <f>L45+L46</f>
        <v>1385386.866</v>
      </c>
      <c r="M68" s="90">
        <f>SUM(H68:L68)</f>
        <v>2692986.866</v>
      </c>
      <c r="O68" s="69">
        <f>M68+M32</f>
        <v>53641692.336</v>
      </c>
    </row>
    <row r="69" ht="15" spans="1:10">
      <c r="A69" s="100" t="s">
        <v>516</v>
      </c>
      <c r="E69" s="101" t="s">
        <v>423</v>
      </c>
      <c r="J69" s="111" t="s">
        <v>490</v>
      </c>
    </row>
    <row r="72" ht="22.5" spans="1:13">
      <c r="A72" s="70" t="s">
        <v>455</v>
      </c>
      <c r="B72" s="71"/>
      <c r="C72" s="71"/>
      <c r="D72" s="71"/>
      <c r="E72" s="71"/>
      <c r="F72" s="71"/>
      <c r="G72" s="71"/>
      <c r="H72" s="71"/>
      <c r="I72" s="71"/>
      <c r="J72" s="71"/>
      <c r="K72" s="71"/>
      <c r="L72" s="71"/>
      <c r="M72" s="71"/>
    </row>
    <row r="73" ht="15" spans="1:13">
      <c r="A73" s="72" t="s">
        <v>513</v>
      </c>
      <c r="B73" s="72"/>
      <c r="C73" s="72"/>
      <c r="D73" s="72"/>
      <c r="E73" s="72"/>
      <c r="F73" s="72"/>
      <c r="G73" s="72"/>
      <c r="H73" s="72"/>
      <c r="I73" s="72"/>
      <c r="J73" s="72"/>
      <c r="K73" s="72"/>
      <c r="L73" s="72"/>
      <c r="M73" s="72"/>
    </row>
    <row r="74" ht="15" spans="1:13">
      <c r="A74" s="73" t="s">
        <v>518</v>
      </c>
      <c r="B74" s="74"/>
      <c r="C74" s="74"/>
      <c r="D74" s="75"/>
      <c r="E74" s="75"/>
      <c r="F74" s="75"/>
      <c r="G74" s="74"/>
      <c r="H74" s="74"/>
      <c r="I74" s="103"/>
      <c r="J74" s="104"/>
      <c r="K74" s="104"/>
      <c r="L74" s="105" t="s">
        <v>515</v>
      </c>
      <c r="M74" s="104"/>
    </row>
    <row r="75" ht="13.5" spans="1:13">
      <c r="A75" s="113" t="s">
        <v>456</v>
      </c>
      <c r="B75" s="80" t="s">
        <v>288</v>
      </c>
      <c r="C75" s="114"/>
      <c r="D75" s="114"/>
      <c r="E75" s="114"/>
      <c r="F75" s="114"/>
      <c r="G75" s="114"/>
      <c r="H75" s="80" t="s">
        <v>289</v>
      </c>
      <c r="I75" s="114"/>
      <c r="J75" s="114"/>
      <c r="K75" s="114"/>
      <c r="L75" s="114"/>
      <c r="M75" s="114"/>
    </row>
    <row r="76" ht="15" spans="1:13">
      <c r="A76" s="115"/>
      <c r="B76" s="80" t="s">
        <v>457</v>
      </c>
      <c r="C76" s="80" t="s">
        <v>458</v>
      </c>
      <c r="D76" s="80" t="s">
        <v>459</v>
      </c>
      <c r="E76" s="80" t="s">
        <v>460</v>
      </c>
      <c r="F76" s="80" t="s">
        <v>461</v>
      </c>
      <c r="G76" s="81" t="s">
        <v>462</v>
      </c>
      <c r="H76" s="80" t="s">
        <v>457</v>
      </c>
      <c r="I76" s="80" t="s">
        <v>458</v>
      </c>
      <c r="J76" s="80" t="s">
        <v>459</v>
      </c>
      <c r="K76" s="80" t="s">
        <v>460</v>
      </c>
      <c r="L76" s="80" t="s">
        <v>461</v>
      </c>
      <c r="M76" s="81" t="s">
        <v>462</v>
      </c>
    </row>
    <row r="77" ht="15" spans="1:13">
      <c r="A77" s="116" t="s">
        <v>463</v>
      </c>
      <c r="B77" s="83">
        <f>H103</f>
        <v>0</v>
      </c>
      <c r="C77" s="83"/>
      <c r="D77" s="83"/>
      <c r="E77" s="83"/>
      <c r="F77" s="83">
        <f>L103</f>
        <v>0</v>
      </c>
      <c r="G77" s="83">
        <f t="shared" ref="G77:G82" si="5">SUM(B77:F77)</f>
        <v>0</v>
      </c>
      <c r="H77" s="83"/>
      <c r="I77" s="83"/>
      <c r="J77" s="83"/>
      <c r="K77" s="83"/>
      <c r="L77" s="83"/>
      <c r="M77" s="83">
        <f t="shared" ref="M77:M82" si="6">SUM(H77:L77)</f>
        <v>0</v>
      </c>
    </row>
    <row r="78" ht="15" spans="1:13">
      <c r="A78" s="117" t="s">
        <v>464</v>
      </c>
      <c r="B78" s="83"/>
      <c r="C78" s="83"/>
      <c r="D78" s="83"/>
      <c r="E78" s="83"/>
      <c r="F78" s="83"/>
      <c r="G78" s="83"/>
      <c r="H78" s="83"/>
      <c r="I78" s="83"/>
      <c r="J78" s="83"/>
      <c r="K78" s="83"/>
      <c r="L78" s="83"/>
      <c r="M78" s="83"/>
    </row>
    <row r="79" ht="15" spans="1:13">
      <c r="A79" s="117" t="s">
        <v>465</v>
      </c>
      <c r="B79" s="83"/>
      <c r="C79" s="83"/>
      <c r="D79" s="83"/>
      <c r="E79" s="83"/>
      <c r="F79" s="83"/>
      <c r="G79" s="83">
        <f t="shared" si="5"/>
        <v>0</v>
      </c>
      <c r="H79" s="83"/>
      <c r="I79" s="83"/>
      <c r="J79" s="83"/>
      <c r="K79" s="83"/>
      <c r="L79" s="83"/>
      <c r="M79" s="83"/>
    </row>
    <row r="80" ht="15" spans="1:13">
      <c r="A80" s="116" t="s">
        <v>466</v>
      </c>
      <c r="B80" s="83">
        <f t="shared" ref="B80:G80" si="7">B77+B78+B79</f>
        <v>0</v>
      </c>
      <c r="C80" s="83"/>
      <c r="D80" s="83"/>
      <c r="E80" s="83"/>
      <c r="F80" s="83">
        <f t="shared" si="7"/>
        <v>0</v>
      </c>
      <c r="G80" s="83">
        <f t="shared" si="7"/>
        <v>0</v>
      </c>
      <c r="H80" s="83"/>
      <c r="I80" s="83"/>
      <c r="J80" s="83"/>
      <c r="K80" s="83"/>
      <c r="L80" s="83"/>
      <c r="M80" s="83">
        <f t="shared" si="6"/>
        <v>0</v>
      </c>
    </row>
    <row r="81" ht="15" spans="1:13">
      <c r="A81" s="116" t="s">
        <v>467</v>
      </c>
      <c r="B81" s="83">
        <f>B85</f>
        <v>3000000</v>
      </c>
      <c r="C81" s="83"/>
      <c r="D81" s="83"/>
      <c r="E81" s="83"/>
      <c r="F81" s="83">
        <f>F84+F89+F102</f>
        <v>0</v>
      </c>
      <c r="G81" s="83">
        <f t="shared" si="5"/>
        <v>3000000</v>
      </c>
      <c r="H81" s="83"/>
      <c r="I81" s="83"/>
      <c r="J81" s="83"/>
      <c r="K81" s="83"/>
      <c r="L81" s="83"/>
      <c r="M81" s="83">
        <f t="shared" si="6"/>
        <v>0</v>
      </c>
    </row>
    <row r="82" ht="15" spans="1:13">
      <c r="A82" s="118" t="s">
        <v>468</v>
      </c>
      <c r="B82" s="87"/>
      <c r="C82" s="88"/>
      <c r="D82" s="87"/>
      <c r="E82" s="87"/>
      <c r="F82" s="89">
        <f>[3]利润表!G84</f>
        <v>0</v>
      </c>
      <c r="G82" s="90">
        <f t="shared" si="5"/>
        <v>0</v>
      </c>
      <c r="H82" s="87"/>
      <c r="I82" s="88"/>
      <c r="J82" s="87"/>
      <c r="K82" s="87"/>
      <c r="L82" s="83"/>
      <c r="M82" s="83">
        <f t="shared" si="6"/>
        <v>0</v>
      </c>
    </row>
    <row r="83" ht="15" spans="1:13">
      <c r="A83" s="118" t="s">
        <v>469</v>
      </c>
      <c r="B83" s="87"/>
      <c r="C83" s="88"/>
      <c r="D83" s="87"/>
      <c r="E83" s="87"/>
      <c r="F83" s="88"/>
      <c r="G83" s="90"/>
      <c r="H83" s="87"/>
      <c r="I83" s="88"/>
      <c r="J83" s="87"/>
      <c r="K83" s="87"/>
      <c r="L83" s="83"/>
      <c r="M83" s="83"/>
    </row>
    <row r="84" ht="15" spans="1:13">
      <c r="A84" s="116" t="s">
        <v>470</v>
      </c>
      <c r="B84" s="87"/>
      <c r="C84" s="88"/>
      <c r="D84" s="91"/>
      <c r="E84" s="87"/>
      <c r="F84" s="87">
        <f>F82+F83</f>
        <v>0</v>
      </c>
      <c r="G84" s="90">
        <f t="shared" ref="G84:G86" si="8">SUM(B84:F84)</f>
        <v>0</v>
      </c>
      <c r="H84" s="87"/>
      <c r="I84" s="88"/>
      <c r="J84" s="87"/>
      <c r="K84" s="87"/>
      <c r="L84" s="83">
        <f>L82+L83</f>
        <v>0</v>
      </c>
      <c r="M84" s="83">
        <f>SUM(H84:L84)</f>
        <v>0</v>
      </c>
    </row>
    <row r="85" ht="15" spans="1:13">
      <c r="A85" s="116" t="s">
        <v>471</v>
      </c>
      <c r="B85" s="87">
        <f>B86</f>
        <v>3000000</v>
      </c>
      <c r="C85" s="87"/>
      <c r="D85" s="87"/>
      <c r="E85" s="87"/>
      <c r="F85" s="87"/>
      <c r="G85" s="90">
        <f t="shared" si="8"/>
        <v>3000000</v>
      </c>
      <c r="H85" s="87"/>
      <c r="I85" s="87"/>
      <c r="J85" s="87"/>
      <c r="K85" s="87"/>
      <c r="L85" s="87"/>
      <c r="M85" s="87"/>
    </row>
    <row r="86" ht="15" spans="1:13">
      <c r="A86" s="119" t="s">
        <v>472</v>
      </c>
      <c r="B86" s="87">
        <v>3000000</v>
      </c>
      <c r="C86" s="88"/>
      <c r="D86" s="87"/>
      <c r="E86" s="87"/>
      <c r="F86" s="93"/>
      <c r="G86" s="90">
        <f t="shared" si="8"/>
        <v>3000000</v>
      </c>
      <c r="H86" s="87"/>
      <c r="I86" s="88"/>
      <c r="J86" s="87"/>
      <c r="K86" s="87"/>
      <c r="L86" s="87"/>
      <c r="M86" s="87"/>
    </row>
    <row r="87" ht="15" spans="1:13">
      <c r="A87" s="119" t="s">
        <v>473</v>
      </c>
      <c r="B87" s="87"/>
      <c r="C87" s="88"/>
      <c r="D87" s="91"/>
      <c r="E87" s="87"/>
      <c r="F87" s="93"/>
      <c r="G87" s="90"/>
      <c r="H87" s="87"/>
      <c r="I87" s="88"/>
      <c r="J87" s="87"/>
      <c r="K87" s="87"/>
      <c r="L87" s="87"/>
      <c r="M87" s="87"/>
    </row>
    <row r="88" ht="15" spans="1:13">
      <c r="A88" s="119" t="s">
        <v>474</v>
      </c>
      <c r="B88" s="87"/>
      <c r="C88" s="88"/>
      <c r="D88" s="87"/>
      <c r="E88" s="87"/>
      <c r="F88" s="88"/>
      <c r="G88" s="90"/>
      <c r="H88" s="87"/>
      <c r="I88" s="88"/>
      <c r="J88" s="87"/>
      <c r="K88" s="87"/>
      <c r="L88" s="87"/>
      <c r="M88" s="87"/>
    </row>
    <row r="89" ht="15" spans="1:13">
      <c r="A89" s="116" t="s">
        <v>475</v>
      </c>
      <c r="B89" s="87"/>
      <c r="C89" s="88"/>
      <c r="D89" s="87"/>
      <c r="E89" s="87"/>
      <c r="F89" s="87"/>
      <c r="G89" s="90"/>
      <c r="H89" s="87"/>
      <c r="I89" s="88"/>
      <c r="J89" s="87"/>
      <c r="K89" s="87"/>
      <c r="L89" s="87"/>
      <c r="M89" s="87"/>
    </row>
    <row r="90" ht="15" spans="1:13">
      <c r="A90" s="119" t="s">
        <v>476</v>
      </c>
      <c r="B90" s="87"/>
      <c r="C90" s="88"/>
      <c r="D90" s="87"/>
      <c r="E90" s="87"/>
      <c r="F90" s="87"/>
      <c r="G90" s="90"/>
      <c r="H90" s="87"/>
      <c r="I90" s="88"/>
      <c r="J90" s="87"/>
      <c r="K90" s="87"/>
      <c r="L90" s="87"/>
      <c r="M90" s="87"/>
    </row>
    <row r="91" ht="15" spans="1:13">
      <c r="A91" s="119" t="s">
        <v>477</v>
      </c>
      <c r="B91" s="87"/>
      <c r="C91" s="88"/>
      <c r="D91" s="87"/>
      <c r="E91" s="87"/>
      <c r="F91" s="88"/>
      <c r="G91" s="90"/>
      <c r="H91" s="87"/>
      <c r="I91" s="88"/>
      <c r="J91" s="87"/>
      <c r="K91" s="87"/>
      <c r="L91" s="87"/>
      <c r="M91" s="87"/>
    </row>
    <row r="92" ht="15" spans="1:13">
      <c r="A92" s="118" t="s">
        <v>478</v>
      </c>
      <c r="B92" s="87"/>
      <c r="C92" s="88"/>
      <c r="D92" s="87"/>
      <c r="E92" s="87"/>
      <c r="F92" s="88"/>
      <c r="G92" s="90"/>
      <c r="H92" s="87"/>
      <c r="I92" s="88"/>
      <c r="J92" s="87"/>
      <c r="K92" s="87"/>
      <c r="L92" s="87"/>
      <c r="M92" s="87"/>
    </row>
    <row r="93" ht="15" spans="1:13">
      <c r="A93" s="119" t="s">
        <v>474</v>
      </c>
      <c r="B93" s="87"/>
      <c r="C93" s="93"/>
      <c r="D93" s="87"/>
      <c r="E93" s="87"/>
      <c r="F93" s="88"/>
      <c r="G93" s="90"/>
      <c r="H93" s="87"/>
      <c r="I93" s="109"/>
      <c r="J93" s="87"/>
      <c r="K93" s="87"/>
      <c r="L93" s="87"/>
      <c r="M93" s="87"/>
    </row>
    <row r="94" ht="15" spans="1:13">
      <c r="A94" s="116" t="s">
        <v>479</v>
      </c>
      <c r="B94" s="87"/>
      <c r="C94" s="93"/>
      <c r="D94" s="90"/>
      <c r="E94" s="87"/>
      <c r="F94" s="88"/>
      <c r="G94" s="90"/>
      <c r="H94" s="87"/>
      <c r="I94" s="87"/>
      <c r="J94" s="87"/>
      <c r="K94" s="87"/>
      <c r="L94" s="87"/>
      <c r="M94" s="87"/>
    </row>
    <row r="95" ht="15" spans="1:13">
      <c r="A95" s="119" t="s">
        <v>480</v>
      </c>
      <c r="B95" s="87"/>
      <c r="C95" s="87"/>
      <c r="D95" s="87"/>
      <c r="E95" s="87"/>
      <c r="F95" s="88"/>
      <c r="G95" s="90"/>
      <c r="H95" s="87"/>
      <c r="I95" s="88"/>
      <c r="J95" s="87"/>
      <c r="K95" s="87"/>
      <c r="L95" s="87"/>
      <c r="M95" s="87"/>
    </row>
    <row r="96" ht="15" spans="1:13">
      <c r="A96" s="119" t="s">
        <v>481</v>
      </c>
      <c r="B96" s="87"/>
      <c r="C96" s="87"/>
      <c r="D96" s="87"/>
      <c r="E96" s="87"/>
      <c r="F96" s="87"/>
      <c r="G96" s="90"/>
      <c r="H96" s="87"/>
      <c r="I96" s="88"/>
      <c r="J96" s="87"/>
      <c r="K96" s="87"/>
      <c r="L96" s="87"/>
      <c r="M96" s="87"/>
    </row>
    <row r="97" ht="15" spans="1:13">
      <c r="A97" s="119" t="s">
        <v>482</v>
      </c>
      <c r="B97" s="87"/>
      <c r="C97" s="87"/>
      <c r="D97" s="87"/>
      <c r="E97" s="87"/>
      <c r="F97" s="87"/>
      <c r="G97" s="90"/>
      <c r="H97" s="87"/>
      <c r="I97" s="88"/>
      <c r="J97" s="87"/>
      <c r="K97" s="87"/>
      <c r="L97" s="87"/>
      <c r="M97" s="87"/>
    </row>
    <row r="98" ht="15" spans="1:13">
      <c r="A98" s="119" t="s">
        <v>483</v>
      </c>
      <c r="B98" s="87"/>
      <c r="C98" s="87"/>
      <c r="D98" s="87"/>
      <c r="E98" s="87"/>
      <c r="F98" s="87"/>
      <c r="G98" s="90"/>
      <c r="H98" s="87"/>
      <c r="I98" s="88"/>
      <c r="J98" s="87"/>
      <c r="K98" s="87"/>
      <c r="L98" s="87"/>
      <c r="M98" s="87"/>
    </row>
    <row r="99" ht="15" spans="1:13">
      <c r="A99" s="116" t="s">
        <v>484</v>
      </c>
      <c r="B99" s="87"/>
      <c r="C99" s="87"/>
      <c r="D99" s="87"/>
      <c r="E99" s="87"/>
      <c r="F99" s="87"/>
      <c r="G99" s="90"/>
      <c r="H99" s="87"/>
      <c r="I99" s="88"/>
      <c r="J99" s="87"/>
      <c r="K99" s="87"/>
      <c r="L99" s="87"/>
      <c r="M99" s="87"/>
    </row>
    <row r="100" ht="15" spans="1:13">
      <c r="A100" s="119" t="s">
        <v>485</v>
      </c>
      <c r="B100" s="87"/>
      <c r="C100" s="87"/>
      <c r="D100" s="87"/>
      <c r="E100" s="87"/>
      <c r="F100" s="87"/>
      <c r="G100" s="90"/>
      <c r="H100" s="87"/>
      <c r="I100" s="88"/>
      <c r="J100" s="87"/>
      <c r="K100" s="87"/>
      <c r="L100" s="87"/>
      <c r="M100" s="87"/>
    </row>
    <row r="101" ht="15" spans="1:13">
      <c r="A101" s="119" t="s">
        <v>486</v>
      </c>
      <c r="B101" s="87"/>
      <c r="C101" s="87"/>
      <c r="D101" s="87"/>
      <c r="E101" s="87"/>
      <c r="F101" s="87"/>
      <c r="G101" s="90"/>
      <c r="H101" s="87"/>
      <c r="I101" s="88"/>
      <c r="J101" s="87"/>
      <c r="K101" s="87"/>
      <c r="L101" s="87"/>
      <c r="M101" s="87"/>
    </row>
    <row r="102" ht="15" spans="1:13">
      <c r="A102" s="116" t="s">
        <v>487</v>
      </c>
      <c r="B102" s="87"/>
      <c r="C102" s="87"/>
      <c r="D102" s="87"/>
      <c r="E102" s="87"/>
      <c r="F102" s="87"/>
      <c r="G102" s="90"/>
      <c r="H102" s="87"/>
      <c r="I102" s="88"/>
      <c r="J102" s="87"/>
      <c r="K102" s="87"/>
      <c r="L102" s="87"/>
      <c r="M102" s="87"/>
    </row>
    <row r="103" ht="15" spans="1:13">
      <c r="A103" s="116" t="s">
        <v>488</v>
      </c>
      <c r="B103" s="87">
        <f>B80+B81</f>
        <v>3000000</v>
      </c>
      <c r="C103" s="87"/>
      <c r="D103" s="87"/>
      <c r="E103" s="87"/>
      <c r="F103" s="120">
        <f>F80+F81</f>
        <v>0</v>
      </c>
      <c r="G103" s="90">
        <f>SUM(B103:F103)</f>
        <v>3000000</v>
      </c>
      <c r="H103" s="87"/>
      <c r="I103" s="87"/>
      <c r="J103" s="87"/>
      <c r="K103" s="87"/>
      <c r="L103" s="83">
        <f>L80+L81</f>
        <v>0</v>
      </c>
      <c r="M103" s="83">
        <f>SUM(H103:L103)</f>
        <v>0</v>
      </c>
    </row>
    <row r="104" ht="15" spans="1:10">
      <c r="A104" s="100" t="s">
        <v>489</v>
      </c>
      <c r="E104" s="101" t="s">
        <v>423</v>
      </c>
      <c r="J104" s="111" t="s">
        <v>490</v>
      </c>
    </row>
  </sheetData>
  <mergeCells count="18">
    <mergeCell ref="A1:M1"/>
    <mergeCell ref="A2:M2"/>
    <mergeCell ref="D3:F3"/>
    <mergeCell ref="B4:G4"/>
    <mergeCell ref="H4:M4"/>
    <mergeCell ref="A37:M37"/>
    <mergeCell ref="A38:M38"/>
    <mergeCell ref="D39:F39"/>
    <mergeCell ref="B40:G40"/>
    <mergeCell ref="H40:M40"/>
    <mergeCell ref="A72:M72"/>
    <mergeCell ref="A73:M73"/>
    <mergeCell ref="D74:F74"/>
    <mergeCell ref="B75:G75"/>
    <mergeCell ref="H75:M75"/>
    <mergeCell ref="A4:A5"/>
    <mergeCell ref="A40:A41"/>
    <mergeCell ref="A75:A76"/>
  </mergeCells>
  <pageMargins left="0.75" right="0.75" top="1" bottom="1" header="0.5" footer="0.5"/>
  <pageSetup paperSize="9" orientation="portrait"/>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view="pageBreakPreview" zoomScale="70" zoomScaleNormal="60" workbookViewId="0">
      <selection activeCell="H6" sqref="H6"/>
    </sheetView>
  </sheetViews>
  <sheetFormatPr defaultColWidth="9" defaultRowHeight="12.75"/>
  <cols>
    <col min="1" max="1" width="45.125" style="67" customWidth="1"/>
    <col min="2" max="2" width="16" style="68" customWidth="1"/>
    <col min="3" max="3" width="12.75" style="68" customWidth="1"/>
    <col min="4" max="4" width="10.75" style="68" customWidth="1"/>
    <col min="5" max="5" width="11.75" style="68" customWidth="1"/>
    <col min="6" max="6" width="13.25" style="68" customWidth="1"/>
    <col min="7" max="7" width="14.875" style="68" customWidth="1"/>
    <col min="8" max="8" width="14.75" style="68" customWidth="1"/>
    <col min="9" max="9" width="13.625" style="68" customWidth="1"/>
    <col min="10" max="10" width="10.25" style="68" customWidth="1"/>
    <col min="11" max="11" width="13.125" style="68" customWidth="1"/>
    <col min="12" max="12" width="13.25" style="68" customWidth="1"/>
    <col min="13" max="13" width="14" style="68" customWidth="1"/>
    <col min="14" max="14" width="11.8833333333333" style="69"/>
    <col min="15" max="16384" width="9" style="69"/>
  </cols>
  <sheetData>
    <row r="1" ht="30" customHeight="1" spans="1:13">
      <c r="A1" s="70" t="s">
        <v>455</v>
      </c>
      <c r="B1" s="71"/>
      <c r="C1" s="71"/>
      <c r="D1" s="71"/>
      <c r="E1" s="71"/>
      <c r="F1" s="71"/>
      <c r="G1" s="71"/>
      <c r="H1" s="71"/>
      <c r="I1" s="71"/>
      <c r="J1" s="71"/>
      <c r="K1" s="71"/>
      <c r="L1" s="71"/>
      <c r="M1" s="71"/>
    </row>
    <row r="2" ht="18" customHeight="1" spans="1:13">
      <c r="A2" s="72" t="s">
        <v>513</v>
      </c>
      <c r="B2" s="72"/>
      <c r="C2" s="72"/>
      <c r="D2" s="72"/>
      <c r="E2" s="72"/>
      <c r="F2" s="72"/>
      <c r="G2" s="72"/>
      <c r="H2" s="72"/>
      <c r="I2" s="72"/>
      <c r="J2" s="72"/>
      <c r="K2" s="72"/>
      <c r="L2" s="72"/>
      <c r="M2" s="72"/>
    </row>
    <row r="3" s="65" customFormat="1" ht="18" customHeight="1" spans="1:13">
      <c r="A3" s="73" t="str">
        <f>[1]资产负债表!A3</f>
        <v>编制单位:海口三江农场物业服务有限公司</v>
      </c>
      <c r="B3" s="74"/>
      <c r="C3" s="74"/>
      <c r="D3" s="75"/>
      <c r="E3" s="75"/>
      <c r="F3" s="75"/>
      <c r="G3" s="74"/>
      <c r="H3" s="74"/>
      <c r="I3" s="103"/>
      <c r="J3" s="104"/>
      <c r="K3" s="104"/>
      <c r="L3" s="105" t="s">
        <v>515</v>
      </c>
      <c r="M3" s="104"/>
    </row>
    <row r="4" s="66" customFormat="1" ht="15.95" customHeight="1" spans="1:13">
      <c r="A4" s="76" t="s">
        <v>456</v>
      </c>
      <c r="B4" s="77" t="s">
        <v>288</v>
      </c>
      <c r="C4" s="78"/>
      <c r="D4" s="78"/>
      <c r="E4" s="78"/>
      <c r="F4" s="78"/>
      <c r="G4" s="78"/>
      <c r="H4" s="77" t="s">
        <v>289</v>
      </c>
      <c r="I4" s="78"/>
      <c r="J4" s="78"/>
      <c r="K4" s="78"/>
      <c r="L4" s="78"/>
      <c r="M4" s="106"/>
    </row>
    <row r="5" s="66" customFormat="1" ht="15.95" customHeight="1" spans="1:13">
      <c r="A5" s="79"/>
      <c r="B5" s="80" t="s">
        <v>457</v>
      </c>
      <c r="C5" s="80" t="s">
        <v>458</v>
      </c>
      <c r="D5" s="80" t="s">
        <v>459</v>
      </c>
      <c r="E5" s="80" t="s">
        <v>460</v>
      </c>
      <c r="F5" s="80" t="s">
        <v>461</v>
      </c>
      <c r="G5" s="81" t="s">
        <v>462</v>
      </c>
      <c r="H5" s="80" t="s">
        <v>457</v>
      </c>
      <c r="I5" s="80" t="s">
        <v>458</v>
      </c>
      <c r="J5" s="80" t="s">
        <v>459</v>
      </c>
      <c r="K5" s="80" t="s">
        <v>460</v>
      </c>
      <c r="L5" s="80" t="s">
        <v>461</v>
      </c>
      <c r="M5" s="107" t="s">
        <v>462</v>
      </c>
    </row>
    <row r="6" s="65" customFormat="1" ht="15.95" customHeight="1" spans="1:13">
      <c r="A6" s="82" t="s">
        <v>463</v>
      </c>
      <c r="B6" s="87">
        <f>H32</f>
        <v>1307600</v>
      </c>
      <c r="C6" s="87"/>
      <c r="D6" s="87"/>
      <c r="E6" s="87"/>
      <c r="F6" s="88">
        <f>L32</f>
        <v>1385386.866</v>
      </c>
      <c r="G6" s="90">
        <f t="shared" ref="G6:G11" si="0">SUM(B6:F6)</f>
        <v>2692986.866</v>
      </c>
      <c r="H6" s="87">
        <f>H9</f>
        <v>819000</v>
      </c>
      <c r="I6" s="87"/>
      <c r="J6" s="87"/>
      <c r="K6" s="87"/>
      <c r="L6" s="88">
        <v>-264614.51</v>
      </c>
      <c r="M6" s="90">
        <f>SUM(H6:L6)</f>
        <v>554385.49</v>
      </c>
    </row>
    <row r="7" s="65" customFormat="1" ht="15.95" customHeight="1" spans="1:13">
      <c r="A7" s="84" t="s">
        <v>464</v>
      </c>
      <c r="B7" s="87"/>
      <c r="C7" s="88"/>
      <c r="D7" s="87"/>
      <c r="E7" s="87"/>
      <c r="F7" s="88"/>
      <c r="G7" s="90"/>
      <c r="H7" s="87"/>
      <c r="I7" s="88"/>
      <c r="J7" s="87"/>
      <c r="K7" s="87"/>
      <c r="L7" s="88"/>
      <c r="M7" s="90">
        <f t="shared" ref="M7:M15" si="1">SUM(H7:L7)</f>
        <v>0</v>
      </c>
    </row>
    <row r="8" s="65" customFormat="1" ht="15.95" customHeight="1" spans="1:13">
      <c r="A8" s="84" t="s">
        <v>465</v>
      </c>
      <c r="B8" s="87"/>
      <c r="C8" s="88"/>
      <c r="D8" s="87"/>
      <c r="E8" s="87"/>
      <c r="F8" s="88">
        <v>222064.74</v>
      </c>
      <c r="G8" s="90">
        <f>SUM(B8:F8)</f>
        <v>222064.74</v>
      </c>
      <c r="H8" s="87"/>
      <c r="I8" s="88"/>
      <c r="J8" s="87"/>
      <c r="K8" s="87"/>
      <c r="L8" s="88">
        <v>1018942.796</v>
      </c>
      <c r="M8" s="90">
        <f t="shared" si="1"/>
        <v>1018942.796</v>
      </c>
    </row>
    <row r="9" s="65" customFormat="1" ht="15.95" customHeight="1" spans="1:13">
      <c r="A9" s="85" t="s">
        <v>466</v>
      </c>
      <c r="B9" s="87">
        <f>B6+B7+B8</f>
        <v>1307600</v>
      </c>
      <c r="C9" s="87"/>
      <c r="D9" s="87"/>
      <c r="E9" s="87"/>
      <c r="F9" s="87">
        <f t="shared" ref="F9:H9" si="2">F6+F7+F8</f>
        <v>1607451.606</v>
      </c>
      <c r="G9" s="87">
        <f t="shared" si="2"/>
        <v>2915051.606</v>
      </c>
      <c r="H9" s="87">
        <v>819000</v>
      </c>
      <c r="I9" s="87"/>
      <c r="J9" s="87"/>
      <c r="K9" s="87"/>
      <c r="L9" s="87">
        <f>L6+L7+L8</f>
        <v>754328.286</v>
      </c>
      <c r="M9" s="90">
        <f t="shared" si="1"/>
        <v>1573328.286</v>
      </c>
    </row>
    <row r="10" s="65" customFormat="1" ht="15.95" customHeight="1" spans="1:13">
      <c r="A10" s="85" t="s">
        <v>467</v>
      </c>
      <c r="B10" s="87">
        <f>B14</f>
        <v>0</v>
      </c>
      <c r="C10" s="88"/>
      <c r="D10" s="87"/>
      <c r="E10" s="87"/>
      <c r="F10" s="88">
        <f>F13+F18+F31</f>
        <v>1640081.911</v>
      </c>
      <c r="G10" s="90">
        <f t="shared" si="0"/>
        <v>1640081.911</v>
      </c>
      <c r="H10" s="87">
        <f>H14</f>
        <v>488600</v>
      </c>
      <c r="I10" s="88"/>
      <c r="J10" s="87"/>
      <c r="K10" s="87"/>
      <c r="L10" s="88">
        <f>L13+L18+L31</f>
        <v>631058.58</v>
      </c>
      <c r="M10" s="90">
        <f t="shared" si="1"/>
        <v>1119658.58</v>
      </c>
    </row>
    <row r="11" s="65" customFormat="1" ht="15.95" customHeight="1" spans="1:13">
      <c r="A11" s="86" t="s">
        <v>468</v>
      </c>
      <c r="B11" s="87"/>
      <c r="C11" s="88"/>
      <c r="D11" s="87"/>
      <c r="E11" s="87"/>
      <c r="F11" s="89">
        <f>利润表合并过程!M12</f>
        <v>1640081.911</v>
      </c>
      <c r="G11" s="90">
        <f t="shared" si="0"/>
        <v>1640081.911</v>
      </c>
      <c r="H11" s="87"/>
      <c r="I11" s="88"/>
      <c r="J11" s="87"/>
      <c r="K11" s="87"/>
      <c r="L11" s="89">
        <f>利润表合并过程!M49</f>
        <v>631058.58</v>
      </c>
      <c r="M11" s="90">
        <f t="shared" si="1"/>
        <v>631058.58</v>
      </c>
    </row>
    <row r="12" s="65" customFormat="1" ht="15.95" customHeight="1" spans="1:13">
      <c r="A12" s="86" t="s">
        <v>469</v>
      </c>
      <c r="B12" s="87"/>
      <c r="C12" s="88"/>
      <c r="D12" s="87"/>
      <c r="E12" s="87"/>
      <c r="F12" s="88"/>
      <c r="G12" s="90"/>
      <c r="H12" s="87"/>
      <c r="I12" s="88"/>
      <c r="J12" s="87"/>
      <c r="K12" s="87"/>
      <c r="L12" s="88"/>
      <c r="M12" s="90">
        <f t="shared" si="1"/>
        <v>0</v>
      </c>
    </row>
    <row r="13" s="65" customFormat="1" ht="15.95" customHeight="1" spans="1:13">
      <c r="A13" s="85" t="s">
        <v>470</v>
      </c>
      <c r="B13" s="87"/>
      <c r="C13" s="88"/>
      <c r="D13" s="91"/>
      <c r="E13" s="87"/>
      <c r="F13" s="87">
        <f>F11+F12</f>
        <v>1640081.911</v>
      </c>
      <c r="G13" s="90">
        <f>SUM(B13:F13)</f>
        <v>1640081.911</v>
      </c>
      <c r="H13" s="87"/>
      <c r="I13" s="88"/>
      <c r="J13" s="91"/>
      <c r="K13" s="87"/>
      <c r="L13" s="87">
        <f>L11+L12</f>
        <v>631058.58</v>
      </c>
      <c r="M13" s="90">
        <f t="shared" si="1"/>
        <v>631058.58</v>
      </c>
    </row>
    <row r="14" s="65" customFormat="1" ht="15.95" customHeight="1" spans="1:13">
      <c r="A14" s="85" t="s">
        <v>471</v>
      </c>
      <c r="B14" s="87">
        <f>B15</f>
        <v>0</v>
      </c>
      <c r="C14" s="87"/>
      <c r="D14" s="87"/>
      <c r="E14" s="87"/>
      <c r="F14" s="87"/>
      <c r="G14" s="90"/>
      <c r="H14" s="87">
        <f>H15</f>
        <v>488600</v>
      </c>
      <c r="I14" s="87"/>
      <c r="J14" s="87"/>
      <c r="K14" s="87"/>
      <c r="L14" s="87"/>
      <c r="M14" s="90">
        <f t="shared" si="1"/>
        <v>488600</v>
      </c>
    </row>
    <row r="15" s="65" customFormat="1" ht="15.95" customHeight="1" spans="1:13">
      <c r="A15" s="92" t="s">
        <v>472</v>
      </c>
      <c r="B15" s="87"/>
      <c r="C15" s="88"/>
      <c r="D15" s="87"/>
      <c r="E15" s="87"/>
      <c r="F15" s="93"/>
      <c r="G15" s="90"/>
      <c r="H15" s="87">
        <v>488600</v>
      </c>
      <c r="I15" s="88"/>
      <c r="J15" s="87"/>
      <c r="K15" s="87"/>
      <c r="L15" s="93"/>
      <c r="M15" s="90">
        <f t="shared" si="1"/>
        <v>488600</v>
      </c>
    </row>
    <row r="16" s="65" customFormat="1" ht="15.95" customHeight="1" spans="1:13">
      <c r="A16" s="92" t="s">
        <v>473</v>
      </c>
      <c r="B16" s="87"/>
      <c r="C16" s="88"/>
      <c r="D16" s="91"/>
      <c r="E16" s="87"/>
      <c r="F16" s="93"/>
      <c r="G16" s="90"/>
      <c r="H16" s="87"/>
      <c r="I16" s="88"/>
      <c r="J16" s="91"/>
      <c r="K16" s="87"/>
      <c r="L16" s="93"/>
      <c r="M16" s="90"/>
    </row>
    <row r="17" s="65" customFormat="1" ht="15.95" customHeight="1" spans="1:13">
      <c r="A17" s="92" t="s">
        <v>474</v>
      </c>
      <c r="B17" s="87"/>
      <c r="C17" s="88"/>
      <c r="D17" s="87"/>
      <c r="E17" s="87"/>
      <c r="F17" s="88"/>
      <c r="G17" s="90"/>
      <c r="H17" s="87"/>
      <c r="I17" s="88"/>
      <c r="J17" s="87"/>
      <c r="K17" s="87"/>
      <c r="L17" s="88"/>
      <c r="M17" s="90"/>
    </row>
    <row r="18" s="65" customFormat="1" ht="15.95" customHeight="1" spans="1:13">
      <c r="A18" s="85" t="s">
        <v>475</v>
      </c>
      <c r="B18" s="87"/>
      <c r="C18" s="88"/>
      <c r="D18" s="87"/>
      <c r="E18" s="87"/>
      <c r="F18" s="87"/>
      <c r="G18" s="90"/>
      <c r="H18" s="87"/>
      <c r="I18" s="88"/>
      <c r="J18" s="87"/>
      <c r="K18" s="87"/>
      <c r="L18" s="87"/>
      <c r="M18" s="90"/>
    </row>
    <row r="19" s="65" customFormat="1" ht="15.95" customHeight="1" spans="1:13">
      <c r="A19" s="92" t="s">
        <v>476</v>
      </c>
      <c r="B19" s="87"/>
      <c r="C19" s="88"/>
      <c r="D19" s="87"/>
      <c r="E19" s="87"/>
      <c r="F19" s="87"/>
      <c r="G19" s="90"/>
      <c r="H19" s="87"/>
      <c r="I19" s="88"/>
      <c r="J19" s="87"/>
      <c r="K19" s="87"/>
      <c r="L19" s="87"/>
      <c r="M19" s="90"/>
    </row>
    <row r="20" s="65" customFormat="1" ht="15.95" customHeight="1" spans="1:13">
      <c r="A20" s="92" t="s">
        <v>477</v>
      </c>
      <c r="B20" s="87"/>
      <c r="C20" s="88"/>
      <c r="D20" s="87"/>
      <c r="E20" s="87"/>
      <c r="F20" s="88"/>
      <c r="G20" s="90"/>
      <c r="H20" s="87"/>
      <c r="I20" s="88"/>
      <c r="J20" s="87"/>
      <c r="K20" s="87"/>
      <c r="L20" s="88"/>
      <c r="M20" s="90"/>
    </row>
    <row r="21" s="65" customFormat="1" ht="15.95" customHeight="1" spans="1:13">
      <c r="A21" s="86" t="s">
        <v>478</v>
      </c>
      <c r="B21" s="87"/>
      <c r="C21" s="88"/>
      <c r="D21" s="87"/>
      <c r="E21" s="87"/>
      <c r="F21" s="88"/>
      <c r="G21" s="90"/>
      <c r="H21" s="87"/>
      <c r="I21" s="88"/>
      <c r="J21" s="87"/>
      <c r="K21" s="87"/>
      <c r="L21" s="88"/>
      <c r="M21" s="90"/>
    </row>
    <row r="22" s="65" customFormat="1" ht="15.95" customHeight="1" spans="1:13">
      <c r="A22" s="92" t="s">
        <v>474</v>
      </c>
      <c r="B22" s="87"/>
      <c r="C22" s="93"/>
      <c r="D22" s="87"/>
      <c r="E22" s="87"/>
      <c r="F22" s="88"/>
      <c r="G22" s="90"/>
      <c r="H22" s="87"/>
      <c r="I22" s="93"/>
      <c r="J22" s="87"/>
      <c r="K22" s="87"/>
      <c r="L22" s="88"/>
      <c r="M22" s="90"/>
    </row>
    <row r="23" s="65" customFormat="1" ht="15.95" customHeight="1" spans="1:13">
      <c r="A23" s="85" t="s">
        <v>479</v>
      </c>
      <c r="B23" s="87"/>
      <c r="C23" s="93"/>
      <c r="D23" s="90"/>
      <c r="E23" s="87"/>
      <c r="F23" s="88"/>
      <c r="G23" s="90"/>
      <c r="H23" s="87"/>
      <c r="I23" s="93"/>
      <c r="J23" s="90"/>
      <c r="K23" s="87"/>
      <c r="L23" s="88"/>
      <c r="M23" s="90"/>
    </row>
    <row r="24" s="65" customFormat="1" ht="15.95" customHeight="1" spans="1:13">
      <c r="A24" s="92" t="s">
        <v>480</v>
      </c>
      <c r="B24" s="87"/>
      <c r="C24" s="87"/>
      <c r="D24" s="87"/>
      <c r="E24" s="87"/>
      <c r="F24" s="88"/>
      <c r="G24" s="90"/>
      <c r="H24" s="87"/>
      <c r="I24" s="87"/>
      <c r="J24" s="87"/>
      <c r="K24" s="87"/>
      <c r="L24" s="88"/>
      <c r="M24" s="90"/>
    </row>
    <row r="25" s="65" customFormat="1" ht="15.95" customHeight="1" spans="1:13">
      <c r="A25" s="92" t="s">
        <v>481</v>
      </c>
      <c r="B25" s="87"/>
      <c r="C25" s="87"/>
      <c r="D25" s="87"/>
      <c r="E25" s="87"/>
      <c r="F25" s="87"/>
      <c r="G25" s="90"/>
      <c r="H25" s="87"/>
      <c r="I25" s="87"/>
      <c r="J25" s="87"/>
      <c r="K25" s="87"/>
      <c r="L25" s="87"/>
      <c r="M25" s="90"/>
    </row>
    <row r="26" s="65" customFormat="1" ht="15.95" customHeight="1" spans="1:13">
      <c r="A26" s="92" t="s">
        <v>482</v>
      </c>
      <c r="B26" s="87"/>
      <c r="C26" s="87"/>
      <c r="D26" s="87"/>
      <c r="E26" s="87"/>
      <c r="F26" s="87"/>
      <c r="G26" s="90"/>
      <c r="H26" s="87"/>
      <c r="I26" s="87"/>
      <c r="J26" s="87"/>
      <c r="K26" s="87"/>
      <c r="L26" s="87"/>
      <c r="M26" s="90"/>
    </row>
    <row r="27" s="65" customFormat="1" ht="15.95" customHeight="1" spans="1:13">
      <c r="A27" s="92" t="s">
        <v>483</v>
      </c>
      <c r="B27" s="87"/>
      <c r="C27" s="87"/>
      <c r="D27" s="87"/>
      <c r="E27" s="87"/>
      <c r="F27" s="87"/>
      <c r="G27" s="90"/>
      <c r="H27" s="87"/>
      <c r="I27" s="87"/>
      <c r="J27" s="87"/>
      <c r="K27" s="87"/>
      <c r="L27" s="87"/>
      <c r="M27" s="90"/>
    </row>
    <row r="28" s="65" customFormat="1" ht="15.95" customHeight="1" spans="1:13">
      <c r="A28" s="85" t="s">
        <v>484</v>
      </c>
      <c r="B28" s="94"/>
      <c r="C28" s="94"/>
      <c r="D28" s="94"/>
      <c r="E28" s="94"/>
      <c r="F28" s="94"/>
      <c r="G28" s="95"/>
      <c r="H28" s="94"/>
      <c r="I28" s="94"/>
      <c r="J28" s="94"/>
      <c r="K28" s="94"/>
      <c r="L28" s="94"/>
      <c r="M28" s="95"/>
    </row>
    <row r="29" s="65" customFormat="1" ht="15.95" customHeight="1" spans="1:13">
      <c r="A29" s="92" t="s">
        <v>485</v>
      </c>
      <c r="B29" s="94"/>
      <c r="C29" s="94"/>
      <c r="D29" s="94"/>
      <c r="E29" s="94"/>
      <c r="F29" s="94"/>
      <c r="G29" s="95"/>
      <c r="H29" s="94"/>
      <c r="I29" s="94"/>
      <c r="J29" s="94"/>
      <c r="K29" s="94"/>
      <c r="L29" s="94"/>
      <c r="M29" s="95"/>
    </row>
    <row r="30" s="65" customFormat="1" ht="15.95" customHeight="1" spans="1:13">
      <c r="A30" s="92" t="s">
        <v>486</v>
      </c>
      <c r="B30" s="94"/>
      <c r="C30" s="94"/>
      <c r="D30" s="94"/>
      <c r="E30" s="94"/>
      <c r="F30" s="94"/>
      <c r="G30" s="95"/>
      <c r="H30" s="94"/>
      <c r="I30" s="94"/>
      <c r="J30" s="94"/>
      <c r="K30" s="94"/>
      <c r="L30" s="94"/>
      <c r="M30" s="95"/>
    </row>
    <row r="31" s="65" customFormat="1" ht="15.95" customHeight="1" spans="1:13">
      <c r="A31" s="85" t="s">
        <v>487</v>
      </c>
      <c r="B31" s="94"/>
      <c r="C31" s="94"/>
      <c r="D31" s="94"/>
      <c r="E31" s="94"/>
      <c r="F31" s="94"/>
      <c r="G31" s="95"/>
      <c r="H31" s="94"/>
      <c r="I31" s="94"/>
      <c r="J31" s="94"/>
      <c r="K31" s="94"/>
      <c r="L31" s="94"/>
      <c r="M31" s="95"/>
    </row>
    <row r="32" s="65" customFormat="1" ht="15.95" customHeight="1" spans="1:13">
      <c r="A32" s="96" t="s">
        <v>488</v>
      </c>
      <c r="B32" s="97">
        <f>B9+B10</f>
        <v>1307600</v>
      </c>
      <c r="C32" s="97"/>
      <c r="D32" s="97"/>
      <c r="E32" s="97"/>
      <c r="F32" s="98">
        <f>F9+F10</f>
        <v>3247533.517</v>
      </c>
      <c r="G32" s="99">
        <f>SUM(B32:F32)</f>
        <v>4555133.517</v>
      </c>
      <c r="H32" s="97">
        <f>H9+H10</f>
        <v>1307600</v>
      </c>
      <c r="I32" s="97"/>
      <c r="J32" s="97"/>
      <c r="K32" s="97"/>
      <c r="L32" s="98">
        <f>L9+L10</f>
        <v>1385386.866</v>
      </c>
      <c r="M32" s="99">
        <f>SUM(H32:L32)</f>
        <v>2692986.866</v>
      </c>
    </row>
    <row r="33" ht="33.75" customHeight="1" spans="1:10">
      <c r="A33" s="100" t="s">
        <v>516</v>
      </c>
      <c r="E33" s="101" t="s">
        <v>423</v>
      </c>
      <c r="J33" s="111" t="s">
        <v>490</v>
      </c>
    </row>
    <row r="36" spans="2:4">
      <c r="B36" s="102"/>
      <c r="C36" s="102"/>
      <c r="D36" s="102"/>
    </row>
  </sheetData>
  <mergeCells count="6">
    <mergeCell ref="A1:M1"/>
    <mergeCell ref="A2:M2"/>
    <mergeCell ref="D3:F3"/>
    <mergeCell ref="B4:G4"/>
    <mergeCell ref="H4:M4"/>
    <mergeCell ref="A4:A5"/>
  </mergeCells>
  <pageMargins left="0.75" right="0.75" top="1" bottom="1" header="0.5" footer="0.5"/>
  <pageSetup paperSize="9" scale="65" orientation="landscape"/>
  <headerFooter/>
  <ignoredErrors>
    <ignoredError sqref="G9" 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6"/>
  <sheetViews>
    <sheetView view="pageBreakPreview" zoomScale="70" zoomScaleNormal="80" workbookViewId="0">
      <selection activeCell="B16" sqref="B16"/>
    </sheetView>
  </sheetViews>
  <sheetFormatPr defaultColWidth="9" defaultRowHeight="12.75"/>
  <cols>
    <col min="1" max="1" width="39.5083333333333" style="67" customWidth="1"/>
    <col min="2" max="2" width="12.875" style="68" customWidth="1"/>
    <col min="3" max="3" width="9.875" style="68" customWidth="1"/>
    <col min="4" max="4" width="10.75" style="68" customWidth="1"/>
    <col min="5" max="5" width="8.75" style="68" customWidth="1"/>
    <col min="6" max="6" width="12.625" style="68" customWidth="1"/>
    <col min="7" max="7" width="13.625" style="68" customWidth="1"/>
    <col min="8" max="8" width="11.875" style="68" customWidth="1"/>
    <col min="9" max="9" width="10.25" style="68" customWidth="1"/>
    <col min="10" max="10" width="9.50833333333333" style="68" customWidth="1"/>
    <col min="11" max="11" width="11.5083333333333" style="68" customWidth="1"/>
    <col min="12" max="12" width="12.25" style="68" customWidth="1"/>
    <col min="13" max="13" width="12.875" style="68" customWidth="1"/>
    <col min="14" max="16384" width="9" style="69"/>
  </cols>
  <sheetData>
    <row r="1" ht="30" customHeight="1" spans="1:13">
      <c r="A1" s="70" t="s">
        <v>455</v>
      </c>
      <c r="B1" s="71"/>
      <c r="C1" s="71"/>
      <c r="D1" s="71"/>
      <c r="E1" s="71"/>
      <c r="F1" s="71"/>
      <c r="G1" s="71"/>
      <c r="H1" s="71"/>
      <c r="I1" s="71"/>
      <c r="J1" s="71"/>
      <c r="K1" s="71"/>
      <c r="L1" s="71"/>
      <c r="M1" s="71"/>
    </row>
    <row r="2" ht="18" customHeight="1" spans="1:13">
      <c r="A2" s="72" t="s">
        <v>513</v>
      </c>
      <c r="B2" s="72"/>
      <c r="C2" s="72"/>
      <c r="D2" s="72"/>
      <c r="E2" s="72"/>
      <c r="F2" s="72"/>
      <c r="G2" s="72"/>
      <c r="H2" s="72"/>
      <c r="I2" s="72"/>
      <c r="J2" s="72"/>
      <c r="K2" s="72"/>
      <c r="L2" s="72"/>
      <c r="M2" s="72"/>
    </row>
    <row r="3" s="65" customFormat="1" ht="18" customHeight="1" spans="1:13">
      <c r="A3" s="73" t="str">
        <f>[3]资产负债表!A3</f>
        <v>编制单位：海口福满三江农业有限公司</v>
      </c>
      <c r="B3" s="74"/>
      <c r="C3" s="74"/>
      <c r="D3" s="75"/>
      <c r="E3" s="75"/>
      <c r="F3" s="75"/>
      <c r="G3" s="74"/>
      <c r="H3" s="74"/>
      <c r="I3" s="103"/>
      <c r="J3" s="104"/>
      <c r="K3" s="104"/>
      <c r="L3" s="105" t="s">
        <v>515</v>
      </c>
      <c r="M3" s="104"/>
    </row>
    <row r="4" s="66" customFormat="1" ht="15.95" customHeight="1" spans="1:13">
      <c r="A4" s="76" t="s">
        <v>456</v>
      </c>
      <c r="B4" s="77" t="s">
        <v>288</v>
      </c>
      <c r="C4" s="78"/>
      <c r="D4" s="78"/>
      <c r="E4" s="78"/>
      <c r="F4" s="78"/>
      <c r="G4" s="78"/>
      <c r="H4" s="77" t="s">
        <v>289</v>
      </c>
      <c r="I4" s="78"/>
      <c r="J4" s="78"/>
      <c r="K4" s="78"/>
      <c r="L4" s="78"/>
      <c r="M4" s="106"/>
    </row>
    <row r="5" s="66" customFormat="1" ht="15.95" customHeight="1" spans="1:13">
      <c r="A5" s="79"/>
      <c r="B5" s="80" t="s">
        <v>457</v>
      </c>
      <c r="C5" s="80" t="s">
        <v>458</v>
      </c>
      <c r="D5" s="80" t="s">
        <v>459</v>
      </c>
      <c r="E5" s="80" t="s">
        <v>460</v>
      </c>
      <c r="F5" s="80" t="s">
        <v>461</v>
      </c>
      <c r="G5" s="81" t="s">
        <v>462</v>
      </c>
      <c r="H5" s="80" t="s">
        <v>457</v>
      </c>
      <c r="I5" s="80" t="s">
        <v>458</v>
      </c>
      <c r="J5" s="80" t="s">
        <v>459</v>
      </c>
      <c r="K5" s="80" t="s">
        <v>460</v>
      </c>
      <c r="L5" s="80" t="s">
        <v>461</v>
      </c>
      <c r="M5" s="107" t="s">
        <v>462</v>
      </c>
    </row>
    <row r="6" s="65" customFormat="1" ht="15.95" customHeight="1" spans="1:13">
      <c r="A6" s="82" t="s">
        <v>463</v>
      </c>
      <c r="B6" s="83">
        <f>H32</f>
        <v>0</v>
      </c>
      <c r="C6" s="83"/>
      <c r="D6" s="83"/>
      <c r="E6" s="83"/>
      <c r="F6" s="83">
        <f>L32</f>
        <v>0</v>
      </c>
      <c r="G6" s="83">
        <f>SUM(B6:F6)</f>
        <v>0</v>
      </c>
      <c r="H6" s="83"/>
      <c r="I6" s="83"/>
      <c r="J6" s="83"/>
      <c r="K6" s="83"/>
      <c r="L6" s="83"/>
      <c r="M6" s="83">
        <f>SUM(H6:L6)</f>
        <v>0</v>
      </c>
    </row>
    <row r="7" s="65" customFormat="1" ht="15.95" customHeight="1" spans="1:13">
      <c r="A7" s="84" t="s">
        <v>464</v>
      </c>
      <c r="B7" s="83"/>
      <c r="C7" s="83"/>
      <c r="D7" s="83"/>
      <c r="E7" s="83"/>
      <c r="F7" s="83"/>
      <c r="G7" s="83"/>
      <c r="H7" s="83"/>
      <c r="I7" s="83"/>
      <c r="J7" s="83"/>
      <c r="K7" s="83"/>
      <c r="L7" s="83"/>
      <c r="M7" s="83"/>
    </row>
    <row r="8" s="65" customFormat="1" ht="15.95" customHeight="1" spans="1:13">
      <c r="A8" s="84" t="s">
        <v>465</v>
      </c>
      <c r="B8" s="83"/>
      <c r="C8" s="83"/>
      <c r="D8" s="83"/>
      <c r="E8" s="83"/>
      <c r="F8" s="83"/>
      <c r="G8" s="83">
        <f>SUM(B8:F8)</f>
        <v>0</v>
      </c>
      <c r="H8" s="83"/>
      <c r="I8" s="83"/>
      <c r="J8" s="83"/>
      <c r="K8" s="83"/>
      <c r="L8" s="83"/>
      <c r="M8" s="83"/>
    </row>
    <row r="9" s="65" customFormat="1" ht="15.95" customHeight="1" spans="1:13">
      <c r="A9" s="85" t="s">
        <v>466</v>
      </c>
      <c r="B9" s="83">
        <f>B6+B7+B8</f>
        <v>0</v>
      </c>
      <c r="C9" s="83"/>
      <c r="D9" s="83"/>
      <c r="E9" s="83"/>
      <c r="F9" s="83">
        <f>F6+F7+F8</f>
        <v>0</v>
      </c>
      <c r="G9" s="83">
        <f>G6+G7+G8</f>
        <v>0</v>
      </c>
      <c r="H9" s="83"/>
      <c r="I9" s="83"/>
      <c r="J9" s="83"/>
      <c r="K9" s="83"/>
      <c r="L9" s="83"/>
      <c r="M9" s="83">
        <f>SUM(H9:L9)</f>
        <v>0</v>
      </c>
    </row>
    <row r="10" s="65" customFormat="1" ht="15.95" customHeight="1" spans="1:13">
      <c r="A10" s="85" t="s">
        <v>467</v>
      </c>
      <c r="B10" s="83">
        <f>B14</f>
        <v>3000000</v>
      </c>
      <c r="C10" s="83"/>
      <c r="D10" s="83"/>
      <c r="E10" s="83"/>
      <c r="F10" s="83">
        <f>F13+F18+F31</f>
        <v>-976846.59</v>
      </c>
      <c r="G10" s="83">
        <f>SUM(B10:F10)</f>
        <v>2023153.41</v>
      </c>
      <c r="H10" s="83"/>
      <c r="I10" s="83"/>
      <c r="J10" s="83"/>
      <c r="K10" s="83"/>
      <c r="L10" s="83"/>
      <c r="M10" s="83">
        <f>SUM(H10:L10)</f>
        <v>0</v>
      </c>
    </row>
    <row r="11" s="65" customFormat="1" ht="15.95" customHeight="1" spans="1:13">
      <c r="A11" s="86" t="s">
        <v>468</v>
      </c>
      <c r="B11" s="87"/>
      <c r="C11" s="88"/>
      <c r="D11" s="87"/>
      <c r="E11" s="87"/>
      <c r="F11" s="89">
        <f>[3]利润表!G13</f>
        <v>-976846.59</v>
      </c>
      <c r="G11" s="90">
        <f>SUM(B11:F11)</f>
        <v>-976846.59</v>
      </c>
      <c r="H11" s="87"/>
      <c r="I11" s="88"/>
      <c r="J11" s="87"/>
      <c r="K11" s="87"/>
      <c r="L11" s="83"/>
      <c r="M11" s="83">
        <f>SUM(H11:L11)</f>
        <v>0</v>
      </c>
    </row>
    <row r="12" s="65" customFormat="1" ht="15.95" customHeight="1" spans="1:13">
      <c r="A12" s="86" t="s">
        <v>469</v>
      </c>
      <c r="B12" s="87"/>
      <c r="C12" s="88"/>
      <c r="D12" s="87"/>
      <c r="E12" s="87"/>
      <c r="F12" s="88"/>
      <c r="G12" s="90"/>
      <c r="H12" s="87"/>
      <c r="I12" s="88"/>
      <c r="J12" s="87"/>
      <c r="K12" s="87"/>
      <c r="L12" s="83"/>
      <c r="M12" s="83"/>
    </row>
    <row r="13" s="65" customFormat="1" ht="15.95" customHeight="1" spans="1:13">
      <c r="A13" s="85" t="s">
        <v>470</v>
      </c>
      <c r="B13" s="87"/>
      <c r="C13" s="88"/>
      <c r="D13" s="91"/>
      <c r="E13" s="87"/>
      <c r="F13" s="87">
        <f>F11+F12</f>
        <v>-976846.59</v>
      </c>
      <c r="G13" s="90">
        <f>SUM(B13:F13)</f>
        <v>-976846.59</v>
      </c>
      <c r="H13" s="87"/>
      <c r="I13" s="88"/>
      <c r="J13" s="87"/>
      <c r="K13" s="87"/>
      <c r="L13" s="83">
        <f>L11+L12</f>
        <v>0</v>
      </c>
      <c r="M13" s="83">
        <f>SUM(H13:L13)</f>
        <v>0</v>
      </c>
    </row>
    <row r="14" s="65" customFormat="1" ht="15.95" customHeight="1" spans="1:13">
      <c r="A14" s="85" t="s">
        <v>471</v>
      </c>
      <c r="B14" s="87">
        <f>B15</f>
        <v>3000000</v>
      </c>
      <c r="C14" s="87"/>
      <c r="D14" s="87"/>
      <c r="E14" s="87"/>
      <c r="F14" s="87"/>
      <c r="G14" s="90">
        <f>SUM(B14:F14)</f>
        <v>3000000</v>
      </c>
      <c r="H14" s="87"/>
      <c r="I14" s="87"/>
      <c r="J14" s="87"/>
      <c r="K14" s="87"/>
      <c r="L14" s="87"/>
      <c r="M14" s="108"/>
    </row>
    <row r="15" s="65" customFormat="1" ht="15.95" customHeight="1" spans="1:13">
      <c r="A15" s="92" t="s">
        <v>472</v>
      </c>
      <c r="B15" s="87">
        <v>3000000</v>
      </c>
      <c r="C15" s="88"/>
      <c r="D15" s="87"/>
      <c r="E15" s="87"/>
      <c r="F15" s="93"/>
      <c r="G15" s="90">
        <f>SUM(B15:F15)</f>
        <v>3000000</v>
      </c>
      <c r="H15" s="87"/>
      <c r="I15" s="88"/>
      <c r="J15" s="87"/>
      <c r="K15" s="87"/>
      <c r="L15" s="87"/>
      <c r="M15" s="108"/>
    </row>
    <row r="16" s="65" customFormat="1" ht="15.95" customHeight="1" spans="1:13">
      <c r="A16" s="92" t="s">
        <v>473</v>
      </c>
      <c r="B16" s="87"/>
      <c r="C16" s="88"/>
      <c r="D16" s="91"/>
      <c r="E16" s="87"/>
      <c r="F16" s="93"/>
      <c r="G16" s="90"/>
      <c r="H16" s="87"/>
      <c r="I16" s="88"/>
      <c r="J16" s="87"/>
      <c r="K16" s="87"/>
      <c r="L16" s="87"/>
      <c r="M16" s="108"/>
    </row>
    <row r="17" s="65" customFormat="1" ht="15.95" customHeight="1" spans="1:13">
      <c r="A17" s="92" t="s">
        <v>474</v>
      </c>
      <c r="B17" s="87"/>
      <c r="C17" s="88"/>
      <c r="D17" s="87"/>
      <c r="E17" s="87"/>
      <c r="F17" s="88"/>
      <c r="G17" s="90"/>
      <c r="H17" s="87"/>
      <c r="I17" s="88"/>
      <c r="J17" s="87"/>
      <c r="K17" s="87"/>
      <c r="L17" s="87"/>
      <c r="M17" s="108"/>
    </row>
    <row r="18" s="65" customFormat="1" ht="15.95" customHeight="1" spans="1:13">
      <c r="A18" s="85" t="s">
        <v>475</v>
      </c>
      <c r="B18" s="87"/>
      <c r="C18" s="88"/>
      <c r="D18" s="87"/>
      <c r="E18" s="87"/>
      <c r="F18" s="87"/>
      <c r="G18" s="90"/>
      <c r="H18" s="87"/>
      <c r="I18" s="88"/>
      <c r="J18" s="87"/>
      <c r="K18" s="87"/>
      <c r="L18" s="87"/>
      <c r="M18" s="108"/>
    </row>
    <row r="19" s="65" customFormat="1" ht="15.95" customHeight="1" spans="1:13">
      <c r="A19" s="92" t="s">
        <v>476</v>
      </c>
      <c r="B19" s="87"/>
      <c r="C19" s="88"/>
      <c r="D19" s="87"/>
      <c r="E19" s="87"/>
      <c r="F19" s="87"/>
      <c r="G19" s="90"/>
      <c r="H19" s="87"/>
      <c r="I19" s="88"/>
      <c r="J19" s="87"/>
      <c r="K19" s="87"/>
      <c r="L19" s="87"/>
      <c r="M19" s="108"/>
    </row>
    <row r="20" s="65" customFormat="1" ht="15.95" customHeight="1" spans="1:13">
      <c r="A20" s="92" t="s">
        <v>477</v>
      </c>
      <c r="B20" s="87"/>
      <c r="C20" s="88"/>
      <c r="D20" s="87"/>
      <c r="E20" s="87"/>
      <c r="F20" s="88"/>
      <c r="G20" s="90"/>
      <c r="H20" s="87"/>
      <c r="I20" s="88"/>
      <c r="J20" s="87"/>
      <c r="K20" s="87"/>
      <c r="L20" s="87"/>
      <c r="M20" s="108"/>
    </row>
    <row r="21" s="65" customFormat="1" ht="15.95" customHeight="1" spans="1:13">
      <c r="A21" s="86" t="s">
        <v>478</v>
      </c>
      <c r="B21" s="87"/>
      <c r="C21" s="88"/>
      <c r="D21" s="87"/>
      <c r="E21" s="87"/>
      <c r="F21" s="88"/>
      <c r="G21" s="90"/>
      <c r="H21" s="87"/>
      <c r="I21" s="88"/>
      <c r="J21" s="87"/>
      <c r="K21" s="87"/>
      <c r="L21" s="87"/>
      <c r="M21" s="108"/>
    </row>
    <row r="22" s="65" customFormat="1" ht="15.95" customHeight="1" spans="1:13">
      <c r="A22" s="92" t="s">
        <v>474</v>
      </c>
      <c r="B22" s="87"/>
      <c r="C22" s="93"/>
      <c r="D22" s="87"/>
      <c r="E22" s="87"/>
      <c r="F22" s="88"/>
      <c r="G22" s="90"/>
      <c r="H22" s="87"/>
      <c r="I22" s="109"/>
      <c r="J22" s="87"/>
      <c r="K22" s="87"/>
      <c r="L22" s="87"/>
      <c r="M22" s="108"/>
    </row>
    <row r="23" s="65" customFormat="1" ht="15.95" customHeight="1" spans="1:13">
      <c r="A23" s="85" t="s">
        <v>479</v>
      </c>
      <c r="B23" s="87"/>
      <c r="C23" s="93"/>
      <c r="D23" s="90"/>
      <c r="E23" s="87"/>
      <c r="F23" s="88"/>
      <c r="G23" s="90"/>
      <c r="H23" s="87"/>
      <c r="I23" s="87"/>
      <c r="J23" s="87"/>
      <c r="K23" s="87"/>
      <c r="L23" s="87"/>
      <c r="M23" s="108"/>
    </row>
    <row r="24" s="65" customFormat="1" ht="15.95" customHeight="1" spans="1:13">
      <c r="A24" s="92" t="s">
        <v>480</v>
      </c>
      <c r="B24" s="87"/>
      <c r="C24" s="87"/>
      <c r="D24" s="87"/>
      <c r="E24" s="87"/>
      <c r="F24" s="88"/>
      <c r="G24" s="90"/>
      <c r="H24" s="87"/>
      <c r="I24" s="88"/>
      <c r="J24" s="87"/>
      <c r="K24" s="87"/>
      <c r="L24" s="87"/>
      <c r="M24" s="108"/>
    </row>
    <row r="25" s="65" customFormat="1" ht="15.95" customHeight="1" spans="1:13">
      <c r="A25" s="92" t="s">
        <v>481</v>
      </c>
      <c r="B25" s="87"/>
      <c r="C25" s="87"/>
      <c r="D25" s="87"/>
      <c r="E25" s="87"/>
      <c r="F25" s="87"/>
      <c r="G25" s="90"/>
      <c r="H25" s="87"/>
      <c r="I25" s="88"/>
      <c r="J25" s="87"/>
      <c r="K25" s="87"/>
      <c r="L25" s="87"/>
      <c r="M25" s="108"/>
    </row>
    <row r="26" s="65" customFormat="1" ht="15.95" customHeight="1" spans="1:13">
      <c r="A26" s="92" t="s">
        <v>482</v>
      </c>
      <c r="B26" s="87"/>
      <c r="C26" s="87"/>
      <c r="D26" s="87"/>
      <c r="E26" s="87"/>
      <c r="F26" s="87"/>
      <c r="G26" s="90"/>
      <c r="H26" s="87"/>
      <c r="I26" s="88"/>
      <c r="J26" s="87"/>
      <c r="K26" s="87"/>
      <c r="L26" s="87"/>
      <c r="M26" s="108"/>
    </row>
    <row r="27" s="65" customFormat="1" ht="15.95" customHeight="1" spans="1:13">
      <c r="A27" s="92" t="s">
        <v>483</v>
      </c>
      <c r="B27" s="87"/>
      <c r="C27" s="87"/>
      <c r="D27" s="87"/>
      <c r="E27" s="87"/>
      <c r="F27" s="87"/>
      <c r="G27" s="90"/>
      <c r="H27" s="87"/>
      <c r="I27" s="88"/>
      <c r="J27" s="87"/>
      <c r="K27" s="87"/>
      <c r="L27" s="87"/>
      <c r="M27" s="108"/>
    </row>
    <row r="28" s="65" customFormat="1" ht="15.95" customHeight="1" spans="1:13">
      <c r="A28" s="85" t="s">
        <v>484</v>
      </c>
      <c r="B28" s="94"/>
      <c r="C28" s="94"/>
      <c r="D28" s="94"/>
      <c r="E28" s="94"/>
      <c r="F28" s="94"/>
      <c r="G28" s="95"/>
      <c r="H28" s="94"/>
      <c r="I28" s="110"/>
      <c r="J28" s="94"/>
      <c r="K28" s="94"/>
      <c r="L28" s="94"/>
      <c r="M28" s="108"/>
    </row>
    <row r="29" s="65" customFormat="1" ht="15.95" customHeight="1" spans="1:13">
      <c r="A29" s="92" t="s">
        <v>485</v>
      </c>
      <c r="B29" s="94"/>
      <c r="C29" s="94"/>
      <c r="D29" s="94"/>
      <c r="E29" s="94"/>
      <c r="F29" s="94"/>
      <c r="G29" s="95"/>
      <c r="H29" s="94"/>
      <c r="I29" s="110"/>
      <c r="J29" s="94"/>
      <c r="K29" s="94"/>
      <c r="L29" s="94"/>
      <c r="M29" s="108"/>
    </row>
    <row r="30" s="65" customFormat="1" ht="15.95" customHeight="1" spans="1:13">
      <c r="A30" s="92" t="s">
        <v>486</v>
      </c>
      <c r="B30" s="94"/>
      <c r="C30" s="94"/>
      <c r="D30" s="94"/>
      <c r="E30" s="94"/>
      <c r="F30" s="94"/>
      <c r="G30" s="95"/>
      <c r="H30" s="94"/>
      <c r="I30" s="110"/>
      <c r="J30" s="94"/>
      <c r="K30" s="94"/>
      <c r="L30" s="94"/>
      <c r="M30" s="108"/>
    </row>
    <row r="31" s="65" customFormat="1" ht="15.95" customHeight="1" spans="1:13">
      <c r="A31" s="85" t="s">
        <v>487</v>
      </c>
      <c r="B31" s="94"/>
      <c r="C31" s="94"/>
      <c r="D31" s="94"/>
      <c r="E31" s="94"/>
      <c r="F31" s="94"/>
      <c r="G31" s="95"/>
      <c r="H31" s="94"/>
      <c r="I31" s="110"/>
      <c r="J31" s="94"/>
      <c r="K31" s="94"/>
      <c r="L31" s="94"/>
      <c r="M31" s="108"/>
    </row>
    <row r="32" s="65" customFormat="1" ht="15.95" customHeight="1" spans="1:13">
      <c r="A32" s="96" t="s">
        <v>488</v>
      </c>
      <c r="B32" s="97">
        <f>B9+B10</f>
        <v>3000000</v>
      </c>
      <c r="C32" s="97"/>
      <c r="D32" s="97"/>
      <c r="E32" s="97"/>
      <c r="F32" s="98">
        <f>F9+F10</f>
        <v>-976846.59</v>
      </c>
      <c r="G32" s="99">
        <f>SUM(B32:F32)</f>
        <v>2023153.41</v>
      </c>
      <c r="H32" s="97"/>
      <c r="I32" s="97"/>
      <c r="J32" s="97"/>
      <c r="K32" s="97"/>
      <c r="L32" s="83">
        <f>L9+L10</f>
        <v>0</v>
      </c>
      <c r="M32" s="83">
        <f>SUM(H32:L32)</f>
        <v>0</v>
      </c>
    </row>
    <row r="33" ht="33.75" customHeight="1" spans="1:10">
      <c r="A33" s="100" t="s">
        <v>489</v>
      </c>
      <c r="E33" s="101" t="s">
        <v>423</v>
      </c>
      <c r="J33" s="111" t="s">
        <v>490</v>
      </c>
    </row>
    <row r="36" spans="2:4">
      <c r="B36" s="102"/>
      <c r="C36" s="102"/>
      <c r="D36" s="102"/>
    </row>
  </sheetData>
  <mergeCells count="6">
    <mergeCell ref="A1:M1"/>
    <mergeCell ref="A2:M2"/>
    <mergeCell ref="D3:F3"/>
    <mergeCell ref="B4:G4"/>
    <mergeCell ref="H4:M4"/>
    <mergeCell ref="A4:A5"/>
  </mergeCells>
  <pageMargins left="0.751388888888889" right="0.751388888888889" top="1" bottom="1" header="0.5" footer="0.5"/>
  <pageSetup paperSize="9" scale="75" orientation="landscape" horizontalDpi="600"/>
  <headerFooter>
    <oddFooter>&amp;C8</oddFooter>
  </headerFooter>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0"/>
  <sheetViews>
    <sheetView zoomScale="80" zoomScaleNormal="80" workbookViewId="0">
      <selection activeCell="M20" sqref="M20"/>
    </sheetView>
  </sheetViews>
  <sheetFormatPr defaultColWidth="9" defaultRowHeight="13.5"/>
  <cols>
    <col min="1" max="1" width="25.375" style="2" customWidth="1"/>
    <col min="2" max="2" width="35.125" style="2" customWidth="1"/>
    <col min="3" max="3" width="16" style="2" customWidth="1"/>
    <col min="4" max="8" width="9" style="2"/>
    <col min="9" max="9" width="13.75" style="2" customWidth="1"/>
    <col min="10" max="10" width="14.875" style="50" customWidth="1"/>
    <col min="11" max="11" width="13.75" style="3" customWidth="1"/>
    <col min="12" max="13" width="9" style="2"/>
    <col min="14" max="14" width="12.8" style="2"/>
    <col min="15" max="16384" width="9" style="2"/>
  </cols>
  <sheetData>
    <row r="1" spans="1:10">
      <c r="A1" s="11" t="s">
        <v>519</v>
      </c>
      <c r="B1" s="14" t="s">
        <v>520</v>
      </c>
      <c r="C1" s="51" t="s">
        <v>521</v>
      </c>
      <c r="D1" s="51" t="s">
        <v>522</v>
      </c>
      <c r="E1" s="51" t="s">
        <v>523</v>
      </c>
      <c r="F1" s="51" t="s">
        <v>524</v>
      </c>
      <c r="G1" s="52" t="s">
        <v>525</v>
      </c>
      <c r="H1" s="51" t="s">
        <v>526</v>
      </c>
      <c r="I1" s="51" t="s">
        <v>527</v>
      </c>
      <c r="J1" s="60" t="s">
        <v>528</v>
      </c>
    </row>
    <row r="2" spans="1:10">
      <c r="A2" s="11" t="s">
        <v>529</v>
      </c>
      <c r="B2" s="14"/>
      <c r="C2" s="53">
        <v>0.05</v>
      </c>
      <c r="D2" s="53">
        <v>0.1</v>
      </c>
      <c r="E2" s="53">
        <v>0.2</v>
      </c>
      <c r="F2" s="53">
        <v>0.3</v>
      </c>
      <c r="G2" s="53">
        <v>0.5</v>
      </c>
      <c r="H2" s="53">
        <v>1</v>
      </c>
      <c r="I2" s="14"/>
      <c r="J2" s="60"/>
    </row>
    <row r="3" spans="1:10">
      <c r="A3" s="11"/>
      <c r="B3" s="14" t="s">
        <v>530</v>
      </c>
      <c r="C3" s="54">
        <v>5847511.16</v>
      </c>
      <c r="D3" s="14"/>
      <c r="E3" s="14"/>
      <c r="F3" s="14"/>
      <c r="G3" s="14"/>
      <c r="H3" s="14"/>
      <c r="I3" s="61">
        <f>C3*C2</f>
        <v>292375.558</v>
      </c>
      <c r="J3" s="60">
        <f>C3-I3</f>
        <v>5555135.602</v>
      </c>
    </row>
    <row r="4" spans="1:10">
      <c r="A4" s="11"/>
      <c r="B4" s="14" t="s">
        <v>531</v>
      </c>
      <c r="C4" s="54">
        <v>3854</v>
      </c>
      <c r="D4" s="14"/>
      <c r="E4" s="14"/>
      <c r="F4" s="14"/>
      <c r="G4" s="14"/>
      <c r="H4" s="14"/>
      <c r="I4" s="61">
        <f>C4*C2</f>
        <v>192.7</v>
      </c>
      <c r="J4" s="60">
        <f>C4-I4</f>
        <v>3661.3</v>
      </c>
    </row>
    <row r="5" spans="1:10">
      <c r="A5" s="11"/>
      <c r="B5" s="14" t="s">
        <v>532</v>
      </c>
      <c r="C5" s="55">
        <v>1390</v>
      </c>
      <c r="D5" s="14"/>
      <c r="E5" s="14"/>
      <c r="F5" s="14"/>
      <c r="G5" s="14"/>
      <c r="H5" s="14"/>
      <c r="I5" s="61">
        <f>C5*C2</f>
        <v>69.5</v>
      </c>
      <c r="J5" s="60">
        <f>C5-I5</f>
        <v>1320.5</v>
      </c>
    </row>
    <row r="6" spans="1:10">
      <c r="A6" s="11"/>
      <c r="B6" s="14"/>
      <c r="C6" s="14"/>
      <c r="D6" s="14"/>
      <c r="E6" s="14"/>
      <c r="F6" s="14"/>
      <c r="G6" s="14"/>
      <c r="H6" s="14"/>
      <c r="I6" s="14"/>
      <c r="J6" s="60"/>
    </row>
    <row r="7" spans="1:10">
      <c r="A7" s="11"/>
      <c r="B7" s="14"/>
      <c r="C7" s="14"/>
      <c r="D7" s="14"/>
      <c r="E7" s="14"/>
      <c r="F7" s="14"/>
      <c r="G7" s="14"/>
      <c r="H7" s="14"/>
      <c r="I7" s="14"/>
      <c r="J7" s="60"/>
    </row>
    <row r="8" spans="1:10">
      <c r="A8" s="11"/>
      <c r="B8" s="14"/>
      <c r="C8" s="14"/>
      <c r="D8" s="14"/>
      <c r="E8" s="14"/>
      <c r="F8" s="14"/>
      <c r="G8" s="14"/>
      <c r="H8" s="14"/>
      <c r="I8" s="14"/>
      <c r="J8" s="60"/>
    </row>
    <row r="9" spans="1:10">
      <c r="A9" s="11"/>
      <c r="B9" s="14"/>
      <c r="C9" s="14"/>
      <c r="D9" s="14"/>
      <c r="E9" s="14"/>
      <c r="F9" s="14"/>
      <c r="G9" s="14"/>
      <c r="H9" s="14"/>
      <c r="I9" s="14"/>
      <c r="J9" s="60"/>
    </row>
    <row r="10" spans="1:10">
      <c r="A10" s="11"/>
      <c r="B10" s="14"/>
      <c r="C10" s="14"/>
      <c r="D10" s="14"/>
      <c r="E10" s="14"/>
      <c r="F10" s="14"/>
      <c r="G10" s="14"/>
      <c r="H10" s="14"/>
      <c r="I10" s="14"/>
      <c r="J10" s="60"/>
    </row>
    <row r="11" spans="1:10">
      <c r="A11" s="11"/>
      <c r="B11" s="14"/>
      <c r="C11" s="14"/>
      <c r="D11" s="14"/>
      <c r="E11" s="14"/>
      <c r="F11" s="14"/>
      <c r="G11" s="14"/>
      <c r="H11" s="14"/>
      <c r="I11" s="14"/>
      <c r="J11" s="60"/>
    </row>
    <row r="12" spans="1:10">
      <c r="A12" s="11"/>
      <c r="B12" s="14"/>
      <c r="C12" s="14"/>
      <c r="D12" s="14"/>
      <c r="E12" s="14"/>
      <c r="F12" s="14"/>
      <c r="G12" s="14"/>
      <c r="H12" s="14"/>
      <c r="I12" s="14"/>
      <c r="J12" s="60"/>
    </row>
    <row r="13" spans="1:14">
      <c r="A13" s="11"/>
      <c r="B13" s="14"/>
      <c r="C13" s="14"/>
      <c r="D13" s="14"/>
      <c r="E13" s="14"/>
      <c r="F13" s="14"/>
      <c r="G13" s="14"/>
      <c r="H13" s="14"/>
      <c r="I13" s="14"/>
      <c r="J13" s="60"/>
      <c r="L13" s="3" t="s">
        <v>533</v>
      </c>
      <c r="M13" s="3"/>
      <c r="N13" s="3">
        <v>146361.789</v>
      </c>
    </row>
    <row r="14" spans="1:14">
      <c r="A14" s="11"/>
      <c r="B14" s="56" t="s">
        <v>534</v>
      </c>
      <c r="C14" s="57">
        <f t="shared" ref="C14:I14" si="0">SUM(C3:C13)</f>
        <v>5852755.16</v>
      </c>
      <c r="D14" s="57">
        <f t="shared" si="0"/>
        <v>0</v>
      </c>
      <c r="E14" s="57">
        <f t="shared" si="0"/>
        <v>0</v>
      </c>
      <c r="F14" s="57">
        <f t="shared" si="0"/>
        <v>0</v>
      </c>
      <c r="G14" s="57">
        <f t="shared" si="0"/>
        <v>0</v>
      </c>
      <c r="H14" s="57">
        <f t="shared" si="0"/>
        <v>0</v>
      </c>
      <c r="I14" s="57">
        <f t="shared" si="0"/>
        <v>292637.758</v>
      </c>
      <c r="J14" s="60">
        <f>C14-I14</f>
        <v>5560117.402</v>
      </c>
      <c r="L14" s="3" t="s">
        <v>535</v>
      </c>
      <c r="M14" s="3"/>
      <c r="N14" s="3">
        <v>146361.789</v>
      </c>
    </row>
    <row r="15" spans="1:10">
      <c r="A15" s="11"/>
      <c r="B15" s="11"/>
      <c r="C15" s="11"/>
      <c r="D15" s="11"/>
      <c r="E15" s="11"/>
      <c r="F15" s="11"/>
      <c r="G15" s="11"/>
      <c r="H15" s="11"/>
      <c r="I15" s="11"/>
      <c r="J15" s="8"/>
    </row>
    <row r="16" spans="1:10">
      <c r="A16" s="11"/>
      <c r="B16" s="11"/>
      <c r="C16" s="11"/>
      <c r="D16" s="11"/>
      <c r="E16" s="11"/>
      <c r="F16" s="11"/>
      <c r="G16" s="11"/>
      <c r="H16" s="11"/>
      <c r="I16" s="11"/>
      <c r="J16" s="8"/>
    </row>
    <row r="18" spans="9:9">
      <c r="I18" s="3">
        <f>I14-I33</f>
        <v>146361.789</v>
      </c>
    </row>
    <row r="20" spans="1:10">
      <c r="A20" s="7" t="s">
        <v>536</v>
      </c>
      <c r="B20" s="14" t="s">
        <v>520</v>
      </c>
      <c r="C20" s="51" t="s">
        <v>521</v>
      </c>
      <c r="D20" s="51" t="s">
        <v>522</v>
      </c>
      <c r="E20" s="51" t="s">
        <v>523</v>
      </c>
      <c r="F20" s="51" t="s">
        <v>524</v>
      </c>
      <c r="G20" s="52" t="s">
        <v>525</v>
      </c>
      <c r="H20" s="51" t="s">
        <v>526</v>
      </c>
      <c r="I20" s="51" t="s">
        <v>527</v>
      </c>
      <c r="J20" s="60" t="s">
        <v>528</v>
      </c>
    </row>
    <row r="21" spans="1:10">
      <c r="A21" s="7" t="s">
        <v>529</v>
      </c>
      <c r="B21" s="14"/>
      <c r="C21" s="53">
        <v>0.05</v>
      </c>
      <c r="D21" s="53">
        <v>0.1</v>
      </c>
      <c r="E21" s="53">
        <v>0.2</v>
      </c>
      <c r="F21" s="53">
        <v>0.3</v>
      </c>
      <c r="G21" s="53">
        <v>0.5</v>
      </c>
      <c r="H21" s="53">
        <v>1</v>
      </c>
      <c r="I21" s="14"/>
      <c r="J21" s="60"/>
    </row>
    <row r="22" spans="1:10">
      <c r="A22" s="7"/>
      <c r="B22" s="14" t="s">
        <v>530</v>
      </c>
      <c r="C22" s="54">
        <v>2924553.38</v>
      </c>
      <c r="D22" s="14"/>
      <c r="E22" s="14"/>
      <c r="F22" s="14"/>
      <c r="G22" s="14"/>
      <c r="H22" s="14"/>
      <c r="I22" s="61">
        <f>C22*C21</f>
        <v>146227.669</v>
      </c>
      <c r="J22" s="60">
        <f>C22-I22</f>
        <v>2778325.711</v>
      </c>
    </row>
    <row r="23" spans="1:10">
      <c r="A23" s="7"/>
      <c r="B23" s="14" t="s">
        <v>537</v>
      </c>
      <c r="C23" s="54">
        <v>966</v>
      </c>
      <c r="D23" s="14"/>
      <c r="E23" s="14"/>
      <c r="F23" s="14"/>
      <c r="G23" s="14"/>
      <c r="H23" s="14"/>
      <c r="I23" s="54">
        <f>C23*C21</f>
        <v>48.3</v>
      </c>
      <c r="J23" s="60">
        <f>C23-I23</f>
        <v>917.7</v>
      </c>
    </row>
    <row r="24" spans="1:10">
      <c r="A24" s="7"/>
      <c r="B24" s="14"/>
      <c r="C24" s="14"/>
      <c r="D24" s="14"/>
      <c r="E24" s="14"/>
      <c r="F24" s="14"/>
      <c r="G24" s="14"/>
      <c r="H24" s="14"/>
      <c r="I24" s="14"/>
      <c r="J24" s="60"/>
    </row>
    <row r="25" spans="1:10">
      <c r="A25" s="7"/>
      <c r="B25" s="14"/>
      <c r="C25" s="14"/>
      <c r="D25" s="14"/>
      <c r="E25" s="14"/>
      <c r="F25" s="14"/>
      <c r="G25" s="14"/>
      <c r="H25" s="14"/>
      <c r="I25" s="14"/>
      <c r="J25" s="60"/>
    </row>
    <row r="26" spans="1:10">
      <c r="A26" s="7"/>
      <c r="B26" s="14"/>
      <c r="C26" s="14"/>
      <c r="D26" s="14"/>
      <c r="E26" s="14"/>
      <c r="F26" s="14"/>
      <c r="G26" s="14"/>
      <c r="H26" s="14"/>
      <c r="I26" s="14"/>
      <c r="J26" s="60"/>
    </row>
    <row r="27" spans="1:10">
      <c r="A27" s="7"/>
      <c r="B27" s="14"/>
      <c r="C27" s="14"/>
      <c r="D27" s="14"/>
      <c r="E27" s="14"/>
      <c r="F27" s="14"/>
      <c r="G27" s="14"/>
      <c r="H27" s="14"/>
      <c r="I27" s="14"/>
      <c r="J27" s="60"/>
    </row>
    <row r="28" spans="1:10">
      <c r="A28" s="7"/>
      <c r="B28" s="14"/>
      <c r="C28" s="14"/>
      <c r="D28" s="14"/>
      <c r="E28" s="14"/>
      <c r="F28" s="14"/>
      <c r="G28" s="14"/>
      <c r="H28" s="14"/>
      <c r="I28" s="14"/>
      <c r="J28" s="60"/>
    </row>
    <row r="29" spans="1:10">
      <c r="A29" s="7"/>
      <c r="B29" s="14"/>
      <c r="C29" s="14"/>
      <c r="D29" s="14"/>
      <c r="E29" s="14"/>
      <c r="F29" s="14"/>
      <c r="G29" s="14"/>
      <c r="H29" s="14"/>
      <c r="I29" s="14"/>
      <c r="J29" s="60"/>
    </row>
    <row r="30" spans="1:10">
      <c r="A30" s="7"/>
      <c r="B30" s="14"/>
      <c r="C30" s="14"/>
      <c r="D30" s="14"/>
      <c r="E30" s="14"/>
      <c r="F30" s="14"/>
      <c r="G30" s="14"/>
      <c r="H30" s="14"/>
      <c r="I30" s="14"/>
      <c r="J30" s="60"/>
    </row>
    <row r="31" spans="1:10">
      <c r="A31" s="7"/>
      <c r="B31" s="14"/>
      <c r="C31" s="14"/>
      <c r="D31" s="14"/>
      <c r="E31" s="14"/>
      <c r="F31" s="14"/>
      <c r="G31" s="14"/>
      <c r="H31" s="14"/>
      <c r="I31" s="14"/>
      <c r="J31" s="60"/>
    </row>
    <row r="32" spans="1:10">
      <c r="A32" s="7"/>
      <c r="B32" s="14"/>
      <c r="C32" s="14"/>
      <c r="D32" s="14"/>
      <c r="E32" s="14"/>
      <c r="F32" s="14"/>
      <c r="G32" s="14"/>
      <c r="H32" s="14"/>
      <c r="I32" s="14"/>
      <c r="J32" s="60"/>
    </row>
    <row r="33" spans="1:10">
      <c r="A33" s="7"/>
      <c r="B33" s="56" t="s">
        <v>534</v>
      </c>
      <c r="C33" s="57">
        <f t="shared" ref="C33:I33" si="1">SUM(C22:C32)</f>
        <v>2925519.38</v>
      </c>
      <c r="D33" s="57">
        <f t="shared" si="1"/>
        <v>0</v>
      </c>
      <c r="E33" s="57">
        <f t="shared" si="1"/>
        <v>0</v>
      </c>
      <c r="F33" s="57">
        <f t="shared" si="1"/>
        <v>0</v>
      </c>
      <c r="G33" s="57">
        <f t="shared" si="1"/>
        <v>0</v>
      </c>
      <c r="H33" s="57">
        <f t="shared" si="1"/>
        <v>0</v>
      </c>
      <c r="I33" s="57">
        <f t="shared" si="1"/>
        <v>146275.969</v>
      </c>
      <c r="J33" s="60">
        <f>C33-I33</f>
        <v>2779243.411</v>
      </c>
    </row>
    <row r="34" spans="2:10">
      <c r="B34" s="58"/>
      <c r="C34" s="58"/>
      <c r="D34" s="58"/>
      <c r="E34" s="58"/>
      <c r="F34" s="58"/>
      <c r="G34" s="58"/>
      <c r="H34" s="58"/>
      <c r="I34" s="58"/>
      <c r="J34" s="62"/>
    </row>
    <row r="35" spans="2:10">
      <c r="B35" s="58"/>
      <c r="C35" s="58"/>
      <c r="D35" s="58"/>
      <c r="E35" s="58"/>
      <c r="F35" s="58"/>
      <c r="G35" s="58"/>
      <c r="H35" s="58"/>
      <c r="I35" s="58"/>
      <c r="J35" s="62"/>
    </row>
    <row r="36" spans="2:10">
      <c r="B36" s="58"/>
      <c r="C36" s="58"/>
      <c r="D36" s="58"/>
      <c r="E36" s="58"/>
      <c r="F36" s="58"/>
      <c r="G36" s="58"/>
      <c r="H36" s="58"/>
      <c r="I36" s="63">
        <f>I33-'[2]物业-应收账款2018'!H14</f>
        <v>-9427.52500000002</v>
      </c>
      <c r="J36" s="62"/>
    </row>
    <row r="37" spans="2:10">
      <c r="B37" s="58"/>
      <c r="C37" s="58"/>
      <c r="D37" s="58"/>
      <c r="E37" s="58"/>
      <c r="F37" s="58"/>
      <c r="G37" s="58"/>
      <c r="H37" s="58"/>
      <c r="I37" s="58"/>
      <c r="J37" s="62"/>
    </row>
    <row r="38" spans="2:10">
      <c r="B38" s="58"/>
      <c r="C38" s="58"/>
      <c r="D38" s="58"/>
      <c r="E38" s="58"/>
      <c r="F38" s="58"/>
      <c r="G38" s="58"/>
      <c r="H38" s="58" t="s">
        <v>538</v>
      </c>
      <c r="I38" s="58"/>
      <c r="J38" s="62">
        <f>I36</f>
        <v>-9427.52500000002</v>
      </c>
    </row>
    <row r="39" spans="2:10">
      <c r="B39" s="58"/>
      <c r="C39" s="58"/>
      <c r="D39" s="58"/>
      <c r="E39" s="58"/>
      <c r="F39" s="58"/>
      <c r="G39" s="58"/>
      <c r="H39" s="58" t="s">
        <v>539</v>
      </c>
      <c r="I39" s="58"/>
      <c r="J39" s="62">
        <f>I36</f>
        <v>-9427.52500000002</v>
      </c>
    </row>
    <row r="40" spans="2:10">
      <c r="B40" s="58"/>
      <c r="C40" s="58"/>
      <c r="D40" s="58"/>
      <c r="E40" s="58"/>
      <c r="F40" s="58"/>
      <c r="G40" s="58"/>
      <c r="H40" s="58"/>
      <c r="I40" s="58"/>
      <c r="J40" s="62"/>
    </row>
    <row r="41" spans="1:11">
      <c r="A41" s="7" t="s">
        <v>540</v>
      </c>
      <c r="B41" s="14" t="s">
        <v>520</v>
      </c>
      <c r="C41" s="51" t="s">
        <v>521</v>
      </c>
      <c r="D41" s="51" t="s">
        <v>522</v>
      </c>
      <c r="E41" s="51" t="s">
        <v>523</v>
      </c>
      <c r="F41" s="51" t="s">
        <v>524</v>
      </c>
      <c r="G41" s="52" t="s">
        <v>525</v>
      </c>
      <c r="H41" s="51" t="s">
        <v>526</v>
      </c>
      <c r="I41" s="51" t="s">
        <v>527</v>
      </c>
      <c r="J41" s="60" t="s">
        <v>528</v>
      </c>
      <c r="K41" s="64"/>
    </row>
    <row r="42" spans="1:11">
      <c r="A42" s="7" t="s">
        <v>529</v>
      </c>
      <c r="B42" s="14"/>
      <c r="C42" s="53">
        <v>0.05</v>
      </c>
      <c r="D42" s="53">
        <v>0.1</v>
      </c>
      <c r="E42" s="53">
        <v>0.2</v>
      </c>
      <c r="F42" s="53">
        <v>0.3</v>
      </c>
      <c r="G42" s="53">
        <v>0.5</v>
      </c>
      <c r="H42" s="53">
        <v>1</v>
      </c>
      <c r="I42" s="14"/>
      <c r="J42" s="60"/>
      <c r="K42" s="64"/>
    </row>
    <row r="43" spans="1:11">
      <c r="A43" s="7"/>
      <c r="B43" s="14" t="s">
        <v>530</v>
      </c>
      <c r="C43" s="54">
        <f>1847595.15</f>
        <v>1847595.15</v>
      </c>
      <c r="D43" s="14"/>
      <c r="E43" s="14"/>
      <c r="F43" s="14"/>
      <c r="G43" s="14"/>
      <c r="H43" s="14"/>
      <c r="I43" s="61">
        <f>C43*C42</f>
        <v>92379.7575</v>
      </c>
      <c r="J43" s="60">
        <f>C43-I43</f>
        <v>1755215.3925</v>
      </c>
      <c r="K43" s="64"/>
    </row>
    <row r="44" spans="1:11">
      <c r="A44" s="7"/>
      <c r="B44" s="14" t="s">
        <v>531</v>
      </c>
      <c r="C44" s="54">
        <v>200</v>
      </c>
      <c r="D44" s="14"/>
      <c r="E44" s="14"/>
      <c r="F44" s="14"/>
      <c r="G44" s="14"/>
      <c r="H44" s="14"/>
      <c r="I44" s="54">
        <f>C44*C42</f>
        <v>10</v>
      </c>
      <c r="J44" s="60">
        <f t="shared" ref="J44:J47" si="2">C44-I44</f>
        <v>190</v>
      </c>
      <c r="K44" s="64"/>
    </row>
    <row r="45" spans="1:11">
      <c r="A45" s="7"/>
      <c r="B45" s="14" t="s">
        <v>541</v>
      </c>
      <c r="C45" s="54">
        <v>288</v>
      </c>
      <c r="D45" s="14"/>
      <c r="E45" s="14"/>
      <c r="F45" s="14"/>
      <c r="G45" s="14"/>
      <c r="H45" s="14"/>
      <c r="I45" s="14">
        <f>C45*C42</f>
        <v>14.4</v>
      </c>
      <c r="J45" s="60">
        <f t="shared" si="2"/>
        <v>273.6</v>
      </c>
      <c r="K45" s="64"/>
    </row>
    <row r="46" spans="1:11">
      <c r="A46" s="7"/>
      <c r="B46" s="14" t="s">
        <v>542</v>
      </c>
      <c r="C46" s="54">
        <v>4396</v>
      </c>
      <c r="D46" s="14"/>
      <c r="E46" s="14"/>
      <c r="F46" s="14"/>
      <c r="G46" s="14"/>
      <c r="H46" s="14"/>
      <c r="I46" s="14">
        <f>C46*C42</f>
        <v>219.8</v>
      </c>
      <c r="J46" s="60">
        <f t="shared" si="2"/>
        <v>4176.2</v>
      </c>
      <c r="K46" s="64"/>
    </row>
    <row r="47" spans="1:11">
      <c r="A47" s="7"/>
      <c r="B47" s="14" t="s">
        <v>543</v>
      </c>
      <c r="C47" s="54">
        <v>480</v>
      </c>
      <c r="D47" s="14"/>
      <c r="E47" s="14"/>
      <c r="F47" s="14"/>
      <c r="G47" s="14"/>
      <c r="H47" s="14"/>
      <c r="I47" s="14">
        <f>C47*C42</f>
        <v>24</v>
      </c>
      <c r="J47" s="60">
        <f t="shared" si="2"/>
        <v>456</v>
      </c>
      <c r="K47" s="64"/>
    </row>
    <row r="48" spans="1:11">
      <c r="A48" s="7"/>
      <c r="B48" s="14" t="s">
        <v>537</v>
      </c>
      <c r="C48" s="54">
        <v>1164</v>
      </c>
      <c r="D48" s="14"/>
      <c r="E48" s="14"/>
      <c r="F48" s="14"/>
      <c r="G48" s="14"/>
      <c r="H48" s="14"/>
      <c r="I48" s="14">
        <f>C48*C42</f>
        <v>58.2</v>
      </c>
      <c r="J48" s="60">
        <f t="shared" ref="J48:J54" si="3">C48-I48</f>
        <v>1105.8</v>
      </c>
      <c r="K48" s="64"/>
    </row>
    <row r="49" spans="1:11">
      <c r="A49" s="7"/>
      <c r="B49" s="14" t="s">
        <v>544</v>
      </c>
      <c r="C49" s="59">
        <v>1259946.73</v>
      </c>
      <c r="D49" s="14"/>
      <c r="E49" s="14"/>
      <c r="F49" s="14"/>
      <c r="G49" s="14"/>
      <c r="H49" s="14"/>
      <c r="I49" s="59">
        <f>C49*C42</f>
        <v>62997.3365</v>
      </c>
      <c r="J49" s="60">
        <f t="shared" si="3"/>
        <v>1196949.3935</v>
      </c>
      <c r="K49" s="64"/>
    </row>
    <row r="50" spans="1:11">
      <c r="A50" s="7"/>
      <c r="B50" s="14"/>
      <c r="C50" s="14"/>
      <c r="D50" s="14"/>
      <c r="E50" s="14"/>
      <c r="F50" s="14"/>
      <c r="G50" s="14"/>
      <c r="H50" s="14"/>
      <c r="I50" s="14"/>
      <c r="J50" s="60">
        <f t="shared" si="3"/>
        <v>0</v>
      </c>
      <c r="K50" s="64"/>
    </row>
    <row r="51" spans="1:11">
      <c r="A51" s="7"/>
      <c r="B51" s="14"/>
      <c r="C51" s="14"/>
      <c r="D51" s="14"/>
      <c r="E51" s="14"/>
      <c r="F51" s="14"/>
      <c r="G51" s="14"/>
      <c r="H51" s="14"/>
      <c r="I51" s="14"/>
      <c r="J51" s="60"/>
      <c r="K51" s="64"/>
    </row>
    <row r="52" spans="1:11">
      <c r="A52" s="7"/>
      <c r="B52" s="14"/>
      <c r="C52" s="14"/>
      <c r="D52" s="14"/>
      <c r="E52" s="14"/>
      <c r="F52" s="14"/>
      <c r="G52" s="14"/>
      <c r="H52" s="14"/>
      <c r="I52" s="14"/>
      <c r="J52" s="60"/>
      <c r="K52" s="64"/>
    </row>
    <row r="53" spans="1:11">
      <c r="A53" s="7"/>
      <c r="B53" s="14"/>
      <c r="C53" s="14"/>
      <c r="D53" s="14"/>
      <c r="E53" s="14"/>
      <c r="F53" s="14"/>
      <c r="G53" s="14"/>
      <c r="H53" s="14"/>
      <c r="I53" s="14"/>
      <c r="J53" s="60"/>
      <c r="K53" s="64"/>
    </row>
    <row r="54" spans="1:11">
      <c r="A54" s="7"/>
      <c r="B54" s="56" t="s">
        <v>534</v>
      </c>
      <c r="C54" s="57">
        <f t="shared" ref="C54:I54" si="4">SUM(C43:C53)</f>
        <v>3114069.88</v>
      </c>
      <c r="D54" s="57">
        <f t="shared" si="4"/>
        <v>0</v>
      </c>
      <c r="E54" s="57">
        <f t="shared" si="4"/>
        <v>0</v>
      </c>
      <c r="F54" s="57">
        <f t="shared" si="4"/>
        <v>0</v>
      </c>
      <c r="G54" s="57">
        <f t="shared" si="4"/>
        <v>0</v>
      </c>
      <c r="H54" s="57">
        <f t="shared" si="4"/>
        <v>0</v>
      </c>
      <c r="I54" s="57">
        <f t="shared" si="4"/>
        <v>155703.494</v>
      </c>
      <c r="J54" s="60">
        <f t="shared" si="3"/>
        <v>2958366.386</v>
      </c>
      <c r="K54" s="64"/>
    </row>
    <row r="55" spans="2:11">
      <c r="B55" s="58"/>
      <c r="C55" s="58"/>
      <c r="D55" s="58"/>
      <c r="E55" s="58"/>
      <c r="F55" s="58"/>
      <c r="G55" s="58"/>
      <c r="H55" s="58"/>
      <c r="I55" s="58"/>
      <c r="J55" s="62"/>
      <c r="K55" s="64"/>
    </row>
    <row r="56" spans="2:11">
      <c r="B56" s="58"/>
      <c r="C56" s="58"/>
      <c r="D56" s="58"/>
      <c r="E56" s="58"/>
      <c r="F56" s="58"/>
      <c r="G56" s="58"/>
      <c r="H56" s="58"/>
      <c r="I56" s="58"/>
      <c r="J56" s="62"/>
      <c r="K56" s="64"/>
    </row>
    <row r="57" spans="2:11">
      <c r="B57" s="58"/>
      <c r="C57" s="58"/>
      <c r="D57" s="58"/>
      <c r="E57" s="58"/>
      <c r="F57" s="58"/>
      <c r="G57" s="58"/>
      <c r="H57" s="58"/>
      <c r="I57" s="58"/>
      <c r="J57" s="62"/>
      <c r="K57" s="64"/>
    </row>
    <row r="58" spans="2:11">
      <c r="B58" s="58"/>
      <c r="C58" s="58"/>
      <c r="D58" s="58"/>
      <c r="E58" s="58"/>
      <c r="F58" s="58"/>
      <c r="G58" s="58"/>
      <c r="H58" s="58"/>
      <c r="I58" s="58" t="s">
        <v>545</v>
      </c>
      <c r="J58" s="62"/>
      <c r="K58" s="64">
        <f>I54</f>
        <v>155703.494</v>
      </c>
    </row>
    <row r="59" spans="2:11">
      <c r="B59" s="58"/>
      <c r="C59" s="58"/>
      <c r="D59" s="58"/>
      <c r="E59" s="58"/>
      <c r="F59" s="58"/>
      <c r="G59" s="58"/>
      <c r="H59" s="58"/>
      <c r="I59" s="58"/>
      <c r="J59" s="62"/>
      <c r="K59" s="64"/>
    </row>
    <row r="60" spans="2:11">
      <c r="B60" s="58"/>
      <c r="C60" s="58"/>
      <c r="D60" s="58"/>
      <c r="E60" s="58"/>
      <c r="F60" s="58"/>
      <c r="G60" s="58"/>
      <c r="H60" s="58"/>
      <c r="I60" s="58" t="s">
        <v>535</v>
      </c>
      <c r="J60" s="62"/>
      <c r="K60" s="64">
        <f>K58</f>
        <v>155703.494</v>
      </c>
    </row>
  </sheetData>
  <pageMargins left="0.75" right="0.75" top="1" bottom="1" header="0.5" footer="0.5"/>
  <headerFooter/>
  <ignoredErrors>
    <ignoredError sqref="D54:I54 C33:I33" formulaRange="1"/>
  </ignoredError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85"/>
  <sheetViews>
    <sheetView zoomScale="60" zoomScaleNormal="60" topLeftCell="A31" workbookViewId="0">
      <selection activeCell="C53" sqref="C53"/>
    </sheetView>
  </sheetViews>
  <sheetFormatPr defaultColWidth="9" defaultRowHeight="13.5"/>
  <cols>
    <col min="1" max="1" width="11.3083333333333" style="2" customWidth="1"/>
    <col min="2" max="2" width="27.5416666666667" style="2" customWidth="1"/>
    <col min="3" max="3" width="28.5333333333333" style="2" customWidth="1"/>
    <col min="4" max="6" width="15.0583333333333" style="2" customWidth="1"/>
    <col min="7" max="7" width="9" style="2"/>
    <col min="8" max="8" width="10.875" style="2" customWidth="1"/>
    <col min="9" max="9" width="17.125" style="2" customWidth="1"/>
    <col min="10" max="10" width="23.625" style="2" customWidth="1"/>
    <col min="11" max="12" width="14.875" style="3" customWidth="1"/>
    <col min="13" max="14" width="9" style="2"/>
    <col min="15" max="15" width="10.875" style="2" customWidth="1"/>
    <col min="16" max="16" width="17.125" style="2" customWidth="1"/>
    <col min="17" max="17" width="23.625" style="2" customWidth="1"/>
    <col min="18" max="19" width="14.875" style="2" customWidth="1"/>
    <col min="20" max="21" width="9" style="2"/>
    <col min="22" max="23" width="13.9333333333333" style="2"/>
    <col min="24" max="16384" width="9" style="2"/>
  </cols>
  <sheetData>
    <row r="1" s="1" customFormat="1" spans="1:20">
      <c r="A1" s="4" t="s">
        <v>519</v>
      </c>
      <c r="B1" s="5" t="s">
        <v>546</v>
      </c>
      <c r="C1" s="5"/>
      <c r="D1" s="6"/>
      <c r="E1" s="6"/>
      <c r="F1" s="5"/>
      <c r="H1" s="4" t="s">
        <v>536</v>
      </c>
      <c r="I1" s="5" t="s">
        <v>546</v>
      </c>
      <c r="J1" s="5"/>
      <c r="K1" s="6"/>
      <c r="L1" s="6"/>
      <c r="M1" s="5"/>
      <c r="O1" s="4" t="s">
        <v>540</v>
      </c>
      <c r="P1" s="5" t="s">
        <v>546</v>
      </c>
      <c r="Q1" s="5"/>
      <c r="R1" s="6"/>
      <c r="S1" s="6"/>
      <c r="T1" s="5"/>
    </row>
    <row r="2" spans="1:20">
      <c r="A2" s="7"/>
      <c r="B2" s="7"/>
      <c r="C2" s="7" t="s">
        <v>547</v>
      </c>
      <c r="D2" s="8" t="s">
        <v>548</v>
      </c>
      <c r="E2" s="8" t="s">
        <v>549</v>
      </c>
      <c r="F2" s="7"/>
      <c r="H2" s="7"/>
      <c r="I2" s="7"/>
      <c r="J2" s="7"/>
      <c r="K2" s="9"/>
      <c r="L2" s="9"/>
      <c r="M2" s="7"/>
      <c r="O2" s="7"/>
      <c r="P2" s="7"/>
      <c r="Q2" s="7"/>
      <c r="R2" s="9"/>
      <c r="S2" s="9"/>
      <c r="T2" s="7"/>
    </row>
    <row r="3" spans="1:20">
      <c r="A3" s="7" t="s">
        <v>550</v>
      </c>
      <c r="B3" s="7" t="s">
        <v>551</v>
      </c>
      <c r="C3" s="7"/>
      <c r="D3" s="8">
        <v>150000</v>
      </c>
      <c r="E3" s="8"/>
      <c r="F3" s="7"/>
      <c r="H3" s="7"/>
      <c r="I3" s="7" t="s">
        <v>552</v>
      </c>
      <c r="J3" s="7" t="s">
        <v>547</v>
      </c>
      <c r="K3" s="9" t="s">
        <v>548</v>
      </c>
      <c r="L3" s="9" t="s">
        <v>549</v>
      </c>
      <c r="M3" s="7"/>
      <c r="O3" s="7"/>
      <c r="P3" s="7" t="s">
        <v>552</v>
      </c>
      <c r="Q3" s="7" t="s">
        <v>547</v>
      </c>
      <c r="R3" s="9" t="s">
        <v>548</v>
      </c>
      <c r="S3" s="9" t="s">
        <v>549</v>
      </c>
      <c r="T3" s="7"/>
    </row>
    <row r="4" spans="1:20">
      <c r="A4" s="7"/>
      <c r="B4" s="7" t="s">
        <v>553</v>
      </c>
      <c r="C4" s="7"/>
      <c r="D4" s="9"/>
      <c r="E4" s="9">
        <v>150000</v>
      </c>
      <c r="F4" s="7"/>
      <c r="H4" s="7" t="s">
        <v>554</v>
      </c>
      <c r="I4" s="7" t="s">
        <v>555</v>
      </c>
      <c r="J4" s="7"/>
      <c r="K4" s="9"/>
      <c r="L4" s="9">
        <v>243.6</v>
      </c>
      <c r="M4" s="7"/>
      <c r="O4" s="7"/>
      <c r="P4" s="7"/>
      <c r="Q4" s="7"/>
      <c r="R4" s="9"/>
      <c r="S4" s="9"/>
      <c r="T4" s="7"/>
    </row>
    <row r="5" spans="1:20">
      <c r="A5" s="7"/>
      <c r="B5" s="7"/>
      <c r="C5" s="7"/>
      <c r="D5" s="9"/>
      <c r="E5" s="9"/>
      <c r="F5" s="7"/>
      <c r="H5" s="7"/>
      <c r="I5" s="7" t="s">
        <v>556</v>
      </c>
      <c r="J5" s="7"/>
      <c r="K5" s="9">
        <v>243.6</v>
      </c>
      <c r="L5" s="9"/>
      <c r="M5" s="7"/>
      <c r="O5" s="7"/>
      <c r="P5" s="7"/>
      <c r="Q5" s="7"/>
      <c r="R5" s="9"/>
      <c r="S5" s="9"/>
      <c r="T5" s="7"/>
    </row>
    <row r="6" spans="1:20">
      <c r="A6" s="7"/>
      <c r="B6" s="7"/>
      <c r="C6" s="7"/>
      <c r="D6" s="9"/>
      <c r="E6" s="9"/>
      <c r="F6" s="7"/>
      <c r="H6" s="7"/>
      <c r="I6" s="7"/>
      <c r="J6" s="7"/>
      <c r="K6" s="9"/>
      <c r="L6" s="9"/>
      <c r="M6" s="7"/>
      <c r="O6" s="7"/>
      <c r="P6" s="7"/>
      <c r="Q6" s="7"/>
      <c r="R6" s="9"/>
      <c r="S6" s="9"/>
      <c r="T6" s="7"/>
    </row>
    <row r="7" spans="1:20">
      <c r="A7" s="7"/>
      <c r="B7" s="7"/>
      <c r="C7" s="7"/>
      <c r="D7" s="9"/>
      <c r="E7" s="9"/>
      <c r="F7" s="7"/>
      <c r="H7" s="7"/>
      <c r="I7" s="7"/>
      <c r="J7" s="7"/>
      <c r="K7" s="9"/>
      <c r="L7" s="9"/>
      <c r="M7" s="7"/>
      <c r="O7" s="7"/>
      <c r="P7" s="7"/>
      <c r="Q7" s="7"/>
      <c r="R7" s="9"/>
      <c r="S7" s="9"/>
      <c r="T7" s="7"/>
    </row>
    <row r="8" spans="1:20">
      <c r="A8" s="7"/>
      <c r="B8" s="7"/>
      <c r="C8" s="7"/>
      <c r="D8" s="7"/>
      <c r="E8" s="7"/>
      <c r="F8" s="7"/>
      <c r="H8" s="7"/>
      <c r="I8" s="7"/>
      <c r="J8" s="7"/>
      <c r="K8" s="9"/>
      <c r="L8" s="9"/>
      <c r="M8" s="7"/>
      <c r="O8" s="7"/>
      <c r="P8" s="7"/>
      <c r="Q8" s="7"/>
      <c r="R8" s="9"/>
      <c r="S8" s="9"/>
      <c r="T8" s="7"/>
    </row>
    <row r="9" spans="1:20">
      <c r="A9" s="7"/>
      <c r="B9" s="7"/>
      <c r="C9" s="7"/>
      <c r="D9" s="7"/>
      <c r="E9" s="7"/>
      <c r="F9" s="7"/>
      <c r="H9" s="7"/>
      <c r="I9" s="12" t="s">
        <v>529</v>
      </c>
      <c r="J9" s="12"/>
      <c r="K9" s="8"/>
      <c r="L9" s="8"/>
      <c r="M9" s="12"/>
      <c r="O9" s="7"/>
      <c r="P9" s="12" t="s">
        <v>529</v>
      </c>
      <c r="Q9" s="12"/>
      <c r="R9" s="8"/>
      <c r="S9" s="8"/>
      <c r="T9" s="12"/>
    </row>
    <row r="10" spans="1:20">
      <c r="A10" s="7"/>
      <c r="B10" s="7"/>
      <c r="C10" s="7"/>
      <c r="D10" s="7"/>
      <c r="E10" s="7"/>
      <c r="F10" s="7"/>
      <c r="H10" s="7"/>
      <c r="I10" s="12" t="s">
        <v>552</v>
      </c>
      <c r="J10" s="12" t="s">
        <v>547</v>
      </c>
      <c r="K10" s="8" t="s">
        <v>548</v>
      </c>
      <c r="L10" s="8" t="s">
        <v>549</v>
      </c>
      <c r="M10" s="12"/>
      <c r="O10" s="7"/>
      <c r="P10" s="12" t="s">
        <v>552</v>
      </c>
      <c r="Q10" s="12" t="s">
        <v>547</v>
      </c>
      <c r="R10" s="8" t="s">
        <v>548</v>
      </c>
      <c r="S10" s="8" t="s">
        <v>549</v>
      </c>
      <c r="T10" s="12"/>
    </row>
    <row r="11" spans="1:20">
      <c r="A11" s="7"/>
      <c r="B11" s="7"/>
      <c r="C11" s="7"/>
      <c r="D11" s="7"/>
      <c r="E11" s="7"/>
      <c r="F11" s="7"/>
      <c r="H11" s="7" t="s">
        <v>554</v>
      </c>
      <c r="I11" s="7" t="s">
        <v>557</v>
      </c>
      <c r="J11" s="7"/>
      <c r="K11" s="9">
        <v>25.88</v>
      </c>
      <c r="L11" s="9"/>
      <c r="M11" s="7"/>
      <c r="O11" s="7" t="s">
        <v>554</v>
      </c>
      <c r="P11" s="7" t="s">
        <v>555</v>
      </c>
      <c r="Q11" s="7"/>
      <c r="R11" s="9"/>
      <c r="S11" s="9">
        <v>406720</v>
      </c>
      <c r="T11" s="7"/>
    </row>
    <row r="12" spans="1:20">
      <c r="A12" s="7"/>
      <c r="B12" s="7"/>
      <c r="C12" s="7"/>
      <c r="D12" s="7"/>
      <c r="E12" s="7"/>
      <c r="F12" s="7"/>
      <c r="H12" s="7"/>
      <c r="I12" s="7" t="s">
        <v>558</v>
      </c>
      <c r="J12" s="7"/>
      <c r="K12" s="9"/>
      <c r="L12" s="9">
        <v>25.88</v>
      </c>
      <c r="M12" s="7"/>
      <c r="O12" s="7"/>
      <c r="P12" s="7" t="s">
        <v>556</v>
      </c>
      <c r="Q12" s="7"/>
      <c r="R12" s="9">
        <v>406720</v>
      </c>
      <c r="S12" s="9"/>
      <c r="T12" s="7"/>
    </row>
    <row r="13" spans="1:20">
      <c r="A13" s="7"/>
      <c r="B13" s="7"/>
      <c r="C13" s="7"/>
      <c r="D13" s="7"/>
      <c r="E13" s="7"/>
      <c r="F13" s="7"/>
      <c r="H13" s="7"/>
      <c r="I13" s="7"/>
      <c r="J13" s="7"/>
      <c r="K13" s="9"/>
      <c r="L13" s="9"/>
      <c r="M13" s="7"/>
      <c r="O13" s="7"/>
      <c r="P13" s="7"/>
      <c r="Q13" s="7"/>
      <c r="R13" s="9"/>
      <c r="S13" s="9"/>
      <c r="T13" s="7"/>
    </row>
    <row r="14" spans="1:20">
      <c r="A14" s="7"/>
      <c r="B14" s="7"/>
      <c r="C14" s="7"/>
      <c r="D14" s="7"/>
      <c r="E14" s="7"/>
      <c r="F14" s="7"/>
      <c r="H14" s="7"/>
      <c r="I14" s="7" t="s">
        <v>555</v>
      </c>
      <c r="J14" s="7"/>
      <c r="K14" s="9"/>
      <c r="L14" s="9">
        <v>4261.19</v>
      </c>
      <c r="M14" s="7"/>
      <c r="O14" s="7" t="s">
        <v>550</v>
      </c>
      <c r="P14" s="7" t="s">
        <v>559</v>
      </c>
      <c r="Q14" s="7" t="s">
        <v>544</v>
      </c>
      <c r="R14" s="9"/>
      <c r="S14" s="9">
        <v>1259946.73</v>
      </c>
      <c r="T14" s="7"/>
    </row>
    <row r="15" spans="1:20">
      <c r="A15" s="7"/>
      <c r="B15" s="7"/>
      <c r="C15" s="7"/>
      <c r="D15" s="7"/>
      <c r="E15" s="7"/>
      <c r="F15" s="7"/>
      <c r="H15" s="7"/>
      <c r="I15" s="7" t="s">
        <v>556</v>
      </c>
      <c r="J15" s="7"/>
      <c r="K15" s="9">
        <v>4261.19</v>
      </c>
      <c r="L15" s="9"/>
      <c r="M15" s="7"/>
      <c r="O15" s="7"/>
      <c r="P15" s="7" t="s">
        <v>560</v>
      </c>
      <c r="Q15" s="7" t="s">
        <v>544</v>
      </c>
      <c r="R15" s="9">
        <v>1259946.73</v>
      </c>
      <c r="S15" s="9"/>
      <c r="T15" s="7"/>
    </row>
    <row r="16" spans="1:20">
      <c r="A16" s="7"/>
      <c r="B16" s="7"/>
      <c r="C16" s="7"/>
      <c r="D16" s="7"/>
      <c r="E16" s="7"/>
      <c r="F16" s="7"/>
      <c r="H16" s="7"/>
      <c r="I16" s="7"/>
      <c r="J16" s="7"/>
      <c r="K16" s="9"/>
      <c r="L16" s="9"/>
      <c r="M16" s="7"/>
      <c r="O16" s="7"/>
      <c r="P16" s="7"/>
      <c r="Q16" s="7"/>
      <c r="R16" s="9"/>
      <c r="S16" s="9"/>
      <c r="T16" s="7"/>
    </row>
    <row r="17" spans="1:6">
      <c r="A17" s="7"/>
      <c r="B17" s="7"/>
      <c r="C17" s="7"/>
      <c r="D17" s="7"/>
      <c r="E17" s="7"/>
      <c r="F17" s="7"/>
    </row>
    <row r="18" spans="1:12">
      <c r="A18" s="7"/>
      <c r="B18" s="7"/>
      <c r="C18" s="7"/>
      <c r="D18" s="7"/>
      <c r="E18" s="7"/>
      <c r="F18" s="7"/>
      <c r="H18" s="7" t="s">
        <v>561</v>
      </c>
      <c r="I18" s="7"/>
      <c r="J18" s="7"/>
      <c r="K18" s="9"/>
      <c r="L18" s="9"/>
    </row>
    <row r="19" spans="8:12">
      <c r="H19" s="7" t="s">
        <v>562</v>
      </c>
      <c r="I19" s="7" t="s">
        <v>547</v>
      </c>
      <c r="J19" s="7" t="s">
        <v>563</v>
      </c>
      <c r="K19" s="9" t="s">
        <v>548</v>
      </c>
      <c r="L19" s="9" t="s">
        <v>549</v>
      </c>
    </row>
    <row r="20" spans="8:12">
      <c r="H20" s="7">
        <v>1</v>
      </c>
      <c r="I20" s="7" t="s">
        <v>564</v>
      </c>
      <c r="J20" s="7" t="s">
        <v>565</v>
      </c>
      <c r="K20" s="9">
        <v>257352.41</v>
      </c>
      <c r="L20" s="9"/>
    </row>
    <row r="21" spans="8:12">
      <c r="H21" s="7"/>
      <c r="I21" s="7"/>
      <c r="J21" s="7" t="s">
        <v>555</v>
      </c>
      <c r="K21" s="9"/>
      <c r="L21" s="9">
        <v>257352.41</v>
      </c>
    </row>
    <row r="22" spans="8:12">
      <c r="H22" s="7"/>
      <c r="I22" s="7"/>
      <c r="J22" s="7"/>
      <c r="K22" s="9"/>
      <c r="L22" s="9"/>
    </row>
    <row r="23" spans="8:12">
      <c r="H23" s="7"/>
      <c r="I23" s="7"/>
      <c r="J23" s="7"/>
      <c r="K23" s="9"/>
      <c r="L23" s="9"/>
    </row>
    <row r="24" spans="8:12">
      <c r="H24" s="7">
        <v>2</v>
      </c>
      <c r="I24" s="7" t="s">
        <v>566</v>
      </c>
      <c r="J24" s="7" t="s">
        <v>565</v>
      </c>
      <c r="K24" s="9">
        <v>154560</v>
      </c>
      <c r="L24" s="9"/>
    </row>
    <row r="25" spans="8:12">
      <c r="H25" s="7"/>
      <c r="I25" s="7"/>
      <c r="J25" s="7" t="s">
        <v>567</v>
      </c>
      <c r="K25" s="9"/>
      <c r="L25" s="9">
        <v>138000</v>
      </c>
    </row>
    <row r="26" spans="8:12">
      <c r="H26" s="7"/>
      <c r="I26" s="7"/>
      <c r="J26" s="7" t="s">
        <v>568</v>
      </c>
      <c r="K26" s="9"/>
      <c r="L26" s="9">
        <v>9660</v>
      </c>
    </row>
    <row r="27" spans="8:12">
      <c r="H27" s="7"/>
      <c r="I27" s="7"/>
      <c r="J27" s="7" t="s">
        <v>569</v>
      </c>
      <c r="K27" s="9"/>
      <c r="L27" s="9">
        <v>4140</v>
      </c>
    </row>
    <row r="28" spans="8:12">
      <c r="H28" s="7"/>
      <c r="I28" s="7"/>
      <c r="J28" s="7" t="s">
        <v>570</v>
      </c>
      <c r="K28" s="9"/>
      <c r="L28" s="9">
        <v>2760</v>
      </c>
    </row>
    <row r="31" s="1" customFormat="1" spans="1:20">
      <c r="A31" s="10" t="s">
        <v>519</v>
      </c>
      <c r="B31" s="5" t="s">
        <v>529</v>
      </c>
      <c r="C31" s="5"/>
      <c r="D31" s="6"/>
      <c r="E31" s="6"/>
      <c r="F31" s="5"/>
      <c r="H31" s="10" t="s">
        <v>536</v>
      </c>
      <c r="I31" s="5" t="s">
        <v>529</v>
      </c>
      <c r="J31" s="5"/>
      <c r="K31" s="6"/>
      <c r="L31" s="6"/>
      <c r="M31" s="5"/>
      <c r="N31" s="19"/>
      <c r="O31" s="20" t="s">
        <v>540</v>
      </c>
      <c r="P31" s="5" t="s">
        <v>529</v>
      </c>
      <c r="Q31" s="5"/>
      <c r="R31" s="6"/>
      <c r="S31" s="6"/>
      <c r="T31" s="5"/>
    </row>
    <row r="32" spans="1:20">
      <c r="A32" s="11"/>
      <c r="B32" s="12" t="s">
        <v>552</v>
      </c>
      <c r="C32" s="12" t="s">
        <v>547</v>
      </c>
      <c r="D32" s="8" t="s">
        <v>548</v>
      </c>
      <c r="E32" s="8" t="s">
        <v>549</v>
      </c>
      <c r="F32" s="12"/>
      <c r="H32" s="11"/>
      <c r="I32" s="12" t="s">
        <v>552</v>
      </c>
      <c r="J32" s="12" t="s">
        <v>547</v>
      </c>
      <c r="K32" s="8" t="s">
        <v>548</v>
      </c>
      <c r="L32" s="8" t="s">
        <v>549</v>
      </c>
      <c r="M32" s="12"/>
      <c r="N32" s="15"/>
      <c r="O32" s="21"/>
      <c r="P32" s="22" t="s">
        <v>552</v>
      </c>
      <c r="Q32" s="12" t="s">
        <v>547</v>
      </c>
      <c r="R32" s="8" t="s">
        <v>548</v>
      </c>
      <c r="S32" s="41" t="s">
        <v>549</v>
      </c>
      <c r="T32" s="12"/>
    </row>
    <row r="33" spans="1:20">
      <c r="A33" s="11" t="s">
        <v>554</v>
      </c>
      <c r="B33" s="11" t="s">
        <v>557</v>
      </c>
      <c r="C33" s="11" t="s">
        <v>571</v>
      </c>
      <c r="D33" s="13">
        <v>367.22</v>
      </c>
      <c r="E33" s="13"/>
      <c r="F33" s="11"/>
      <c r="H33" s="11" t="s">
        <v>554</v>
      </c>
      <c r="I33" s="11" t="s">
        <v>557</v>
      </c>
      <c r="J33" s="11"/>
      <c r="K33" s="13">
        <v>25.88</v>
      </c>
      <c r="L33" s="13"/>
      <c r="M33" s="11"/>
      <c r="N33" s="15"/>
      <c r="O33" s="21" t="s">
        <v>554</v>
      </c>
      <c r="P33" s="23" t="s">
        <v>555</v>
      </c>
      <c r="Q33" s="11"/>
      <c r="R33" s="13"/>
      <c r="S33" s="42">
        <v>406720</v>
      </c>
      <c r="T33" s="11"/>
    </row>
    <row r="34" spans="1:20">
      <c r="A34" s="11"/>
      <c r="B34" s="11" t="s">
        <v>558</v>
      </c>
      <c r="C34" s="11"/>
      <c r="D34" s="13"/>
      <c r="E34" s="13">
        <v>367.22</v>
      </c>
      <c r="F34" s="11"/>
      <c r="H34" s="11"/>
      <c r="I34" s="11" t="s">
        <v>558</v>
      </c>
      <c r="J34" s="11"/>
      <c r="K34" s="13"/>
      <c r="L34" s="13">
        <v>25.88</v>
      </c>
      <c r="M34" s="11"/>
      <c r="N34" s="15"/>
      <c r="O34" s="21"/>
      <c r="P34" s="23" t="s">
        <v>556</v>
      </c>
      <c r="Q34" s="11"/>
      <c r="R34" s="13">
        <v>406720</v>
      </c>
      <c r="S34" s="42"/>
      <c r="T34" s="11"/>
    </row>
    <row r="35" spans="1:20">
      <c r="A35" s="11"/>
      <c r="B35" s="11"/>
      <c r="C35" s="11"/>
      <c r="D35" s="13"/>
      <c r="E35" s="13"/>
      <c r="F35" s="11"/>
      <c r="H35" s="11"/>
      <c r="I35" s="11"/>
      <c r="J35" s="11"/>
      <c r="K35" s="13"/>
      <c r="L35" s="13"/>
      <c r="M35" s="11"/>
      <c r="N35" s="15"/>
      <c r="O35" s="21"/>
      <c r="P35" s="23"/>
      <c r="Q35" s="11"/>
      <c r="R35" s="13"/>
      <c r="S35" s="42"/>
      <c r="T35" s="11"/>
    </row>
    <row r="36" spans="1:20">
      <c r="A36" s="11"/>
      <c r="B36" s="11" t="s">
        <v>555</v>
      </c>
      <c r="C36" s="11" t="s">
        <v>572</v>
      </c>
      <c r="D36" s="13"/>
      <c r="E36" s="13">
        <v>6302.39</v>
      </c>
      <c r="F36" s="11"/>
      <c r="H36" s="11"/>
      <c r="I36" s="11" t="s">
        <v>555</v>
      </c>
      <c r="J36" s="11"/>
      <c r="K36" s="13"/>
      <c r="L36" s="13">
        <v>4261.19</v>
      </c>
      <c r="M36" s="11"/>
      <c r="N36" s="15"/>
      <c r="O36" s="21" t="s">
        <v>550</v>
      </c>
      <c r="P36" s="23" t="s">
        <v>559</v>
      </c>
      <c r="Q36" s="11" t="s">
        <v>544</v>
      </c>
      <c r="R36" s="13"/>
      <c r="S36" s="42">
        <v>1259946.73</v>
      </c>
      <c r="T36" s="11"/>
    </row>
    <row r="37" spans="1:20">
      <c r="A37" s="11"/>
      <c r="B37" s="11" t="s">
        <v>556</v>
      </c>
      <c r="C37" s="11" t="s">
        <v>572</v>
      </c>
      <c r="D37" s="13">
        <v>6302.39</v>
      </c>
      <c r="E37" s="13"/>
      <c r="F37" s="11"/>
      <c r="H37" s="11"/>
      <c r="I37" s="11" t="s">
        <v>556</v>
      </c>
      <c r="J37" s="11"/>
      <c r="K37" s="13">
        <v>4261.19</v>
      </c>
      <c r="L37" s="13"/>
      <c r="M37" s="11"/>
      <c r="N37" s="15"/>
      <c r="O37" s="21"/>
      <c r="P37" s="23" t="s">
        <v>560</v>
      </c>
      <c r="Q37" s="11" t="s">
        <v>544</v>
      </c>
      <c r="R37" s="13">
        <v>1259946.73</v>
      </c>
      <c r="S37" s="42"/>
      <c r="T37" s="11"/>
    </row>
    <row r="38" spans="1:20">
      <c r="A38" s="11"/>
      <c r="B38" s="11"/>
      <c r="C38" s="11"/>
      <c r="D38" s="13"/>
      <c r="E38" s="13"/>
      <c r="F38" s="11"/>
      <c r="H38" s="11"/>
      <c r="I38" s="11"/>
      <c r="J38" s="11"/>
      <c r="K38" s="13"/>
      <c r="L38" s="13"/>
      <c r="M38" s="11"/>
      <c r="N38" s="15"/>
      <c r="O38" s="21"/>
      <c r="P38" s="23"/>
      <c r="Q38" s="11"/>
      <c r="R38" s="13"/>
      <c r="S38" s="42"/>
      <c r="T38" s="11"/>
    </row>
    <row r="39" spans="1:20">
      <c r="A39" s="11"/>
      <c r="B39" s="11"/>
      <c r="C39" s="11"/>
      <c r="D39" s="13"/>
      <c r="E39" s="13"/>
      <c r="F39" s="12" t="s">
        <v>573</v>
      </c>
      <c r="H39" s="11"/>
      <c r="I39" s="11"/>
      <c r="J39" s="12" t="s">
        <v>547</v>
      </c>
      <c r="K39" s="13"/>
      <c r="L39" s="13"/>
      <c r="M39" s="11"/>
      <c r="N39" s="15"/>
      <c r="O39" s="21"/>
      <c r="P39" s="23"/>
      <c r="Q39" s="12"/>
      <c r="R39" s="13"/>
      <c r="S39" s="42"/>
      <c r="T39" s="11"/>
    </row>
    <row r="40" spans="1:20">
      <c r="A40" s="11"/>
      <c r="B40" s="11"/>
      <c r="C40" s="11"/>
      <c r="D40" s="13"/>
      <c r="E40" s="13"/>
      <c r="F40" s="12"/>
      <c r="H40" s="11"/>
      <c r="I40" s="11" t="s">
        <v>559</v>
      </c>
      <c r="J40" s="11" t="s">
        <v>544</v>
      </c>
      <c r="K40" s="13"/>
      <c r="L40" s="13">
        <v>1259946.73</v>
      </c>
      <c r="M40" s="11"/>
      <c r="N40" s="15"/>
      <c r="O40" s="21"/>
      <c r="P40" s="23"/>
      <c r="Q40" s="11"/>
      <c r="R40" s="13"/>
      <c r="S40" s="42"/>
      <c r="T40" s="11"/>
    </row>
    <row r="41" spans="1:20">
      <c r="A41" s="11" t="s">
        <v>574</v>
      </c>
      <c r="B41" s="11" t="s">
        <v>560</v>
      </c>
      <c r="C41" s="14" t="s">
        <v>530</v>
      </c>
      <c r="D41" s="13">
        <v>6144177.86</v>
      </c>
      <c r="E41" s="13"/>
      <c r="F41" s="8">
        <f>D41-E42</f>
        <v>5847511.16</v>
      </c>
      <c r="H41" s="11"/>
      <c r="I41" s="11" t="s">
        <v>575</v>
      </c>
      <c r="J41" s="11" t="s">
        <v>544</v>
      </c>
      <c r="K41" s="13">
        <v>1259946.73</v>
      </c>
      <c r="L41" s="13"/>
      <c r="M41" s="11"/>
      <c r="N41" s="15"/>
      <c r="O41" s="21"/>
      <c r="P41" s="23"/>
      <c r="Q41" s="11"/>
      <c r="R41" s="13"/>
      <c r="S41" s="42"/>
      <c r="T41" s="11"/>
    </row>
    <row r="42" spans="1:20">
      <c r="A42" s="11"/>
      <c r="B42" s="11" t="s">
        <v>558</v>
      </c>
      <c r="C42" s="14" t="s">
        <v>530</v>
      </c>
      <c r="D42" s="13"/>
      <c r="E42" s="13">
        <v>296666.7</v>
      </c>
      <c r="F42" s="11"/>
      <c r="H42" s="11"/>
      <c r="I42" s="11"/>
      <c r="J42" s="11"/>
      <c r="K42" s="13"/>
      <c r="L42" s="13"/>
      <c r="M42" s="11"/>
      <c r="N42" s="15"/>
      <c r="O42" s="21"/>
      <c r="P42" s="23"/>
      <c r="Q42" s="11"/>
      <c r="R42" s="13"/>
      <c r="S42" s="42"/>
      <c r="T42" s="11"/>
    </row>
    <row r="43" spans="1:20">
      <c r="A43" s="11"/>
      <c r="B43" s="11"/>
      <c r="C43" s="14"/>
      <c r="D43" s="13"/>
      <c r="E43" s="13"/>
      <c r="F43" s="11"/>
      <c r="H43" s="11"/>
      <c r="I43" s="11"/>
      <c r="J43" s="11"/>
      <c r="K43" s="13"/>
      <c r="L43" s="13"/>
      <c r="M43" s="11"/>
      <c r="N43" s="15"/>
      <c r="O43" s="21"/>
      <c r="P43" s="23"/>
      <c r="Q43" s="11"/>
      <c r="R43" s="13"/>
      <c r="S43" s="42"/>
      <c r="T43" s="11"/>
    </row>
    <row r="44" spans="1:20">
      <c r="A44" s="11"/>
      <c r="B44" s="11"/>
      <c r="C44" s="12" t="s">
        <v>576</v>
      </c>
      <c r="D44" s="8" t="s">
        <v>577</v>
      </c>
      <c r="E44" s="8" t="s">
        <v>578</v>
      </c>
      <c r="F44" s="11"/>
      <c r="H44" s="15"/>
      <c r="I44" s="15"/>
      <c r="J44" s="15"/>
      <c r="K44" s="24"/>
      <c r="L44" s="24"/>
      <c r="M44" s="15"/>
      <c r="N44" s="15"/>
      <c r="O44" s="25"/>
      <c r="P44" s="26"/>
      <c r="Q44" s="15"/>
      <c r="R44" s="15"/>
      <c r="S44" s="25"/>
      <c r="T44" s="15"/>
    </row>
    <row r="45" spans="1:20">
      <c r="A45" s="11"/>
      <c r="B45" s="11" t="s">
        <v>560</v>
      </c>
      <c r="C45" s="8">
        <v>6149421.86</v>
      </c>
      <c r="D45" s="8">
        <v>296666.7</v>
      </c>
      <c r="E45" s="8">
        <f>C45-D45</f>
        <v>5852755.16</v>
      </c>
      <c r="F45" s="11"/>
      <c r="H45" s="15"/>
      <c r="I45" s="15"/>
      <c r="J45" s="15"/>
      <c r="K45" s="24"/>
      <c r="L45" s="24"/>
      <c r="M45" s="15"/>
      <c r="N45" s="15"/>
      <c r="O45" s="25"/>
      <c r="P45" s="26"/>
      <c r="Q45" s="15"/>
      <c r="R45" s="15"/>
      <c r="S45" s="25"/>
      <c r="T45" s="15"/>
    </row>
    <row r="46" ht="67.5" spans="1:24">
      <c r="A46" s="11"/>
      <c r="B46" s="11" t="s">
        <v>579</v>
      </c>
      <c r="C46" s="8">
        <v>303304.7</v>
      </c>
      <c r="D46" s="8">
        <v>296666.7</v>
      </c>
      <c r="E46" s="8">
        <f>C46-D46</f>
        <v>6638</v>
      </c>
      <c r="F46" s="11"/>
      <c r="H46" s="15"/>
      <c r="I46" s="15"/>
      <c r="J46" s="15"/>
      <c r="K46" s="24"/>
      <c r="L46" s="24"/>
      <c r="M46" s="15"/>
      <c r="N46" s="15"/>
      <c r="O46" s="21" t="s">
        <v>580</v>
      </c>
      <c r="P46" s="23"/>
      <c r="Q46" s="11"/>
      <c r="R46" s="11"/>
      <c r="S46" s="21"/>
      <c r="T46" s="15"/>
      <c r="U46" s="43" t="s">
        <v>581</v>
      </c>
      <c r="V46" s="26"/>
      <c r="W46" s="15"/>
      <c r="X46" s="15"/>
    </row>
    <row r="47" spans="1:24">
      <c r="A47" s="11"/>
      <c r="B47" s="11"/>
      <c r="C47" s="8"/>
      <c r="D47" s="8"/>
      <c r="E47" s="8"/>
      <c r="F47" s="11"/>
      <c r="H47" s="15"/>
      <c r="I47" s="15"/>
      <c r="J47" s="15"/>
      <c r="K47" s="24"/>
      <c r="L47" s="27"/>
      <c r="M47" s="28"/>
      <c r="N47" s="28"/>
      <c r="O47" s="21"/>
      <c r="P47" s="29" t="s">
        <v>582</v>
      </c>
      <c r="Q47" s="14" t="s">
        <v>583</v>
      </c>
      <c r="R47" s="14" t="s">
        <v>584</v>
      </c>
      <c r="S47" s="21"/>
      <c r="T47" s="15"/>
      <c r="U47" s="39" t="s">
        <v>563</v>
      </c>
      <c r="V47" s="40" t="s">
        <v>548</v>
      </c>
      <c r="W47" s="44" t="s">
        <v>549</v>
      </c>
      <c r="X47" s="15"/>
    </row>
    <row r="48" ht="27" spans="1:24">
      <c r="A48" s="11"/>
      <c r="B48" s="11"/>
      <c r="C48" s="8"/>
      <c r="D48" s="8"/>
      <c r="E48" s="8"/>
      <c r="F48" s="11"/>
      <c r="H48" s="15"/>
      <c r="I48" s="15"/>
      <c r="J48" s="15"/>
      <c r="K48" s="24"/>
      <c r="L48" s="27"/>
      <c r="M48" s="28"/>
      <c r="N48" s="28"/>
      <c r="O48" s="21" t="s">
        <v>585</v>
      </c>
      <c r="P48" s="23">
        <v>1197300.88</v>
      </c>
      <c r="Q48" s="11"/>
      <c r="R48" s="11"/>
      <c r="S48" s="21"/>
      <c r="T48" s="15"/>
      <c r="U48" s="39" t="s">
        <v>461</v>
      </c>
      <c r="V48" s="40">
        <v>85300.44</v>
      </c>
      <c r="W48" s="45"/>
      <c r="X48" s="15"/>
    </row>
    <row r="49" ht="40.5" spans="1:24">
      <c r="A49" s="11"/>
      <c r="B49" s="11"/>
      <c r="C49" s="8"/>
      <c r="D49" s="8"/>
      <c r="E49" s="8"/>
      <c r="F49" s="11"/>
      <c r="H49" s="15"/>
      <c r="I49" s="15"/>
      <c r="J49" s="15"/>
      <c r="K49" s="24"/>
      <c r="L49" s="30"/>
      <c r="M49" s="28"/>
      <c r="N49" s="28"/>
      <c r="O49" s="21" t="s">
        <v>586</v>
      </c>
      <c r="P49" s="23">
        <v>155703.49</v>
      </c>
      <c r="Q49" s="11"/>
      <c r="R49" s="11"/>
      <c r="S49" s="21"/>
      <c r="T49" s="15"/>
      <c r="U49" s="39" t="s">
        <v>587</v>
      </c>
      <c r="V49" s="40"/>
      <c r="W49" s="40">
        <v>85300.44</v>
      </c>
      <c r="X49" s="15"/>
    </row>
    <row r="50" spans="8:24">
      <c r="H50" s="15"/>
      <c r="I50" s="15"/>
      <c r="J50" s="15"/>
      <c r="K50" s="24"/>
      <c r="L50" s="27"/>
      <c r="M50" s="28"/>
      <c r="N50" s="31"/>
      <c r="O50" s="21" t="s">
        <v>588</v>
      </c>
      <c r="P50" s="23">
        <f>P48+P49</f>
        <v>1353004.37</v>
      </c>
      <c r="Q50" s="11"/>
      <c r="R50" s="11"/>
      <c r="S50" s="21"/>
      <c r="T50" s="15"/>
      <c r="U50" s="25"/>
      <c r="V50" s="26"/>
      <c r="W50" s="15"/>
      <c r="X50" s="15"/>
    </row>
    <row r="51" ht="54" spans="8:24">
      <c r="H51" s="15"/>
      <c r="I51" s="15"/>
      <c r="J51" s="15"/>
      <c r="K51" s="24"/>
      <c r="L51" s="27"/>
      <c r="M51" s="28"/>
      <c r="N51" s="32"/>
      <c r="O51" s="33" t="s">
        <v>589</v>
      </c>
      <c r="P51" s="23">
        <f>1000000*0.25</f>
        <v>250000</v>
      </c>
      <c r="Q51" s="46">
        <v>0.2</v>
      </c>
      <c r="R51" s="11">
        <f>P51*Q51</f>
        <v>50000</v>
      </c>
      <c r="S51" s="21"/>
      <c r="T51" s="15"/>
      <c r="U51" s="25"/>
      <c r="V51" s="26"/>
      <c r="W51" s="15"/>
      <c r="X51" s="15"/>
    </row>
    <row r="52" ht="54" spans="1:24">
      <c r="A52" s="10" t="s">
        <v>519</v>
      </c>
      <c r="B52" s="5" t="s">
        <v>590</v>
      </c>
      <c r="C52" s="5"/>
      <c r="D52" s="6"/>
      <c r="E52" s="6"/>
      <c r="F52" s="5"/>
      <c r="H52" s="15"/>
      <c r="I52" s="15"/>
      <c r="J52" s="15"/>
      <c r="K52" s="24"/>
      <c r="L52" s="27"/>
      <c r="M52" s="28"/>
      <c r="N52" s="32"/>
      <c r="O52" s="34" t="s">
        <v>591</v>
      </c>
      <c r="P52" s="23">
        <f>(P50-1000000)*0.5</f>
        <v>176502.185</v>
      </c>
      <c r="Q52" s="46">
        <v>0.2</v>
      </c>
      <c r="R52" s="11">
        <f>P52*Q52</f>
        <v>35300.437</v>
      </c>
      <c r="S52" s="21"/>
      <c r="T52" s="15"/>
      <c r="U52" s="47" t="s">
        <v>592</v>
      </c>
      <c r="V52" s="26"/>
      <c r="W52" s="15"/>
      <c r="X52" s="15"/>
    </row>
    <row r="53" spans="1:24">
      <c r="A53" s="16" t="s">
        <v>593</v>
      </c>
      <c r="B53" s="16" t="s">
        <v>594</v>
      </c>
      <c r="C53" s="17">
        <v>107338.63</v>
      </c>
      <c r="D53" s="7"/>
      <c r="E53" s="7"/>
      <c r="F53" s="7"/>
      <c r="H53" s="15"/>
      <c r="I53" s="15"/>
      <c r="J53" s="15"/>
      <c r="K53" s="24"/>
      <c r="L53" s="27"/>
      <c r="M53" s="28"/>
      <c r="N53" s="35"/>
      <c r="O53" s="21"/>
      <c r="P53" s="23"/>
      <c r="Q53" s="11"/>
      <c r="R53" s="11"/>
      <c r="S53" s="21"/>
      <c r="T53" s="15"/>
      <c r="U53" s="25"/>
      <c r="V53" s="26"/>
      <c r="W53" s="15"/>
      <c r="X53" s="15"/>
    </row>
    <row r="54" ht="27" spans="1:24">
      <c r="A54" s="7" t="s">
        <v>595</v>
      </c>
      <c r="B54" s="7" t="s">
        <v>596</v>
      </c>
      <c r="C54" s="18">
        <v>107338.63</v>
      </c>
      <c r="D54" s="7"/>
      <c r="E54" s="7"/>
      <c r="F54" s="7"/>
      <c r="H54" s="15"/>
      <c r="I54" s="15"/>
      <c r="J54" s="15"/>
      <c r="K54" s="24"/>
      <c r="L54" s="27"/>
      <c r="M54" s="28"/>
      <c r="N54" s="27"/>
      <c r="O54" s="34" t="s">
        <v>597</v>
      </c>
      <c r="P54" s="23"/>
      <c r="Q54" s="11"/>
      <c r="R54" s="11">
        <f>R51+R52</f>
        <v>85300.437</v>
      </c>
      <c r="S54" s="21"/>
      <c r="T54" s="15"/>
      <c r="U54" s="47" t="s">
        <v>598</v>
      </c>
      <c r="V54" s="26">
        <v>663776</v>
      </c>
      <c r="W54" s="15"/>
      <c r="X54" s="15"/>
    </row>
    <row r="55" ht="27" spans="1:24">
      <c r="A55" s="7"/>
      <c r="B55" s="7"/>
      <c r="C55" s="7"/>
      <c r="D55" s="7"/>
      <c r="E55" s="7"/>
      <c r="F55" s="7"/>
      <c r="H55" s="15"/>
      <c r="I55" s="15"/>
      <c r="J55" s="15"/>
      <c r="K55" s="24"/>
      <c r="L55" s="27"/>
      <c r="M55" s="28"/>
      <c r="N55" s="27"/>
      <c r="O55" s="36" t="s">
        <v>599</v>
      </c>
      <c r="P55" s="23"/>
      <c r="Q55" s="11"/>
      <c r="R55" s="11"/>
      <c r="S55" s="21"/>
      <c r="T55" s="15"/>
      <c r="U55" s="47" t="s">
        <v>600</v>
      </c>
      <c r="V55" s="26">
        <v>9427.53</v>
      </c>
      <c r="W55" s="15"/>
      <c r="X55" s="15"/>
    </row>
    <row r="56" spans="1:24">
      <c r="A56" s="7"/>
      <c r="B56" s="7"/>
      <c r="C56" s="7"/>
      <c r="D56" s="7"/>
      <c r="E56" s="7"/>
      <c r="F56" s="7"/>
      <c r="H56" s="15"/>
      <c r="I56" s="15"/>
      <c r="J56" s="15"/>
      <c r="K56" s="24"/>
      <c r="L56" s="24"/>
      <c r="M56" s="15"/>
      <c r="N56" s="15"/>
      <c r="O56" s="37"/>
      <c r="P56" s="38"/>
      <c r="Q56" s="48"/>
      <c r="R56" s="48"/>
      <c r="S56" s="37"/>
      <c r="T56" s="15"/>
      <c r="U56" s="47" t="s">
        <v>588</v>
      </c>
      <c r="V56" s="26">
        <f>V54-V55</f>
        <v>654348.47</v>
      </c>
      <c r="W56" s="15"/>
      <c r="X56" s="15"/>
    </row>
    <row r="57" ht="67.5" spans="1:24">
      <c r="A57" s="7"/>
      <c r="B57" s="7"/>
      <c r="C57" s="7"/>
      <c r="D57" s="7"/>
      <c r="E57" s="7"/>
      <c r="F57" s="7"/>
      <c r="H57" s="15"/>
      <c r="I57" s="15"/>
      <c r="J57" s="15"/>
      <c r="K57" s="24"/>
      <c r="L57" s="24"/>
      <c r="M57" s="15"/>
      <c r="N57" s="15"/>
      <c r="O57" s="39" t="s">
        <v>563</v>
      </c>
      <c r="P57" s="40" t="s">
        <v>548</v>
      </c>
      <c r="Q57" s="44" t="s">
        <v>549</v>
      </c>
      <c r="R57" s="45"/>
      <c r="S57" s="49"/>
      <c r="T57" s="15"/>
      <c r="U57" s="47" t="s">
        <v>601</v>
      </c>
      <c r="V57" s="26">
        <f>V56*0.25</f>
        <v>163587.1175</v>
      </c>
      <c r="W57" s="15"/>
      <c r="X57" s="15"/>
    </row>
    <row r="58" ht="54" spans="8:24">
      <c r="H58" s="15"/>
      <c r="I58" s="15"/>
      <c r="J58" s="15"/>
      <c r="K58" s="24"/>
      <c r="L58" s="24"/>
      <c r="M58" s="15"/>
      <c r="N58" s="15"/>
      <c r="O58" s="39" t="s">
        <v>602</v>
      </c>
      <c r="P58" s="40">
        <v>85300.44</v>
      </c>
      <c r="Q58" s="45"/>
      <c r="R58" s="45"/>
      <c r="S58" s="39" t="s">
        <v>603</v>
      </c>
      <c r="T58" s="15"/>
      <c r="U58" s="47" t="s">
        <v>604</v>
      </c>
      <c r="V58" s="26">
        <v>0.2</v>
      </c>
      <c r="W58" s="15"/>
      <c r="X58" s="15"/>
    </row>
    <row r="59" ht="40.5" spans="8:24">
      <c r="H59" s="15"/>
      <c r="I59" s="15"/>
      <c r="J59" s="15"/>
      <c r="K59" s="24"/>
      <c r="L59" s="24"/>
      <c r="M59" s="15"/>
      <c r="N59" s="15"/>
      <c r="O59" s="39" t="s">
        <v>587</v>
      </c>
      <c r="P59" s="40"/>
      <c r="Q59" s="40">
        <v>85300.44</v>
      </c>
      <c r="R59" s="45"/>
      <c r="S59" s="39" t="s">
        <v>605</v>
      </c>
      <c r="T59" s="15"/>
      <c r="U59" s="47" t="s">
        <v>606</v>
      </c>
      <c r="V59" s="26">
        <f>V57*V58</f>
        <v>32717.4235</v>
      </c>
      <c r="W59" s="15"/>
      <c r="X59" s="15"/>
    </row>
    <row r="60" ht="27" spans="8:24">
      <c r="H60" s="15"/>
      <c r="I60" s="15"/>
      <c r="J60" s="15"/>
      <c r="K60" s="24"/>
      <c r="L60" s="24"/>
      <c r="M60" s="15"/>
      <c r="N60" s="15"/>
      <c r="O60" s="25"/>
      <c r="P60" s="26"/>
      <c r="Q60" s="15"/>
      <c r="R60" s="15"/>
      <c r="S60" s="25"/>
      <c r="T60" s="15"/>
      <c r="U60" s="47" t="s">
        <v>607</v>
      </c>
      <c r="V60" s="26">
        <v>437755.49</v>
      </c>
      <c r="W60" s="15"/>
      <c r="X60" s="15"/>
    </row>
    <row r="61" ht="54" spans="8:24">
      <c r="H61" s="15"/>
      <c r="I61" s="15"/>
      <c r="J61" s="15"/>
      <c r="K61" s="24"/>
      <c r="L61" s="24"/>
      <c r="M61" s="15"/>
      <c r="N61" s="15"/>
      <c r="O61" s="25"/>
      <c r="P61" s="26"/>
      <c r="Q61" s="15"/>
      <c r="R61" s="15"/>
      <c r="S61" s="25"/>
      <c r="T61" s="15"/>
      <c r="U61" s="47" t="s">
        <v>608</v>
      </c>
      <c r="V61" s="26">
        <f>V60-V59</f>
        <v>405038.0665</v>
      </c>
      <c r="W61" s="15"/>
      <c r="X61" s="15"/>
    </row>
    <row r="62" spans="8:24">
      <c r="H62" s="15"/>
      <c r="I62" s="15"/>
      <c r="J62" s="15"/>
      <c r="K62" s="24"/>
      <c r="L62" s="24"/>
      <c r="M62" s="15"/>
      <c r="N62" s="15"/>
      <c r="O62" s="25"/>
      <c r="P62" s="26"/>
      <c r="Q62" s="15"/>
      <c r="R62" s="15"/>
      <c r="S62" s="25"/>
      <c r="T62" s="15"/>
      <c r="U62" s="25"/>
      <c r="V62" s="26"/>
      <c r="W62" s="15"/>
      <c r="X62" s="15"/>
    </row>
    <row r="63" ht="54" spans="8:24">
      <c r="H63" s="15"/>
      <c r="I63" s="15"/>
      <c r="J63" s="15"/>
      <c r="K63" s="24"/>
      <c r="L63" s="24"/>
      <c r="M63" s="15"/>
      <c r="N63" s="15"/>
      <c r="O63" s="25"/>
      <c r="P63" s="26"/>
      <c r="Q63" s="15"/>
      <c r="R63" s="15"/>
      <c r="S63" s="25"/>
      <c r="T63" s="15"/>
      <c r="U63" s="47" t="s">
        <v>609</v>
      </c>
      <c r="V63" s="26"/>
      <c r="W63" s="15"/>
      <c r="X63" s="15"/>
    </row>
    <row r="64" spans="8:24">
      <c r="H64" s="15"/>
      <c r="I64" s="15"/>
      <c r="J64" s="15"/>
      <c r="K64" s="24"/>
      <c r="L64" s="24"/>
      <c r="M64" s="15"/>
      <c r="N64" s="15"/>
      <c r="S64" s="25"/>
      <c r="T64" s="15"/>
      <c r="U64" s="39" t="s">
        <v>599</v>
      </c>
      <c r="V64" s="40"/>
      <c r="W64" s="45"/>
      <c r="X64" s="15"/>
    </row>
    <row r="65" spans="8:24">
      <c r="H65" s="15"/>
      <c r="I65" s="15"/>
      <c r="J65" s="15"/>
      <c r="K65" s="24"/>
      <c r="L65" s="24"/>
      <c r="M65" s="15"/>
      <c r="N65" s="15">
        <v>1</v>
      </c>
      <c r="S65" s="25"/>
      <c r="T65" s="15"/>
      <c r="U65" s="39" t="s">
        <v>563</v>
      </c>
      <c r="V65" s="40" t="s">
        <v>548</v>
      </c>
      <c r="W65" s="44" t="s">
        <v>549</v>
      </c>
      <c r="X65" s="15"/>
    </row>
    <row r="66" spans="8:24">
      <c r="H66" s="15"/>
      <c r="I66" s="15"/>
      <c r="J66" s="15"/>
      <c r="K66" s="24"/>
      <c r="L66" s="24"/>
      <c r="M66" s="15"/>
      <c r="N66" s="15"/>
      <c r="S66" s="25"/>
      <c r="T66" s="15"/>
      <c r="U66" s="39" t="s">
        <v>602</v>
      </c>
      <c r="V66" s="40"/>
      <c r="W66" s="40">
        <v>405038.07</v>
      </c>
      <c r="X66" s="15"/>
    </row>
    <row r="67" ht="40.5" spans="8:24">
      <c r="H67" s="15"/>
      <c r="I67" s="15"/>
      <c r="J67" s="15"/>
      <c r="K67" s="24"/>
      <c r="L67" s="24"/>
      <c r="M67" s="15"/>
      <c r="N67" s="15"/>
      <c r="S67" s="25"/>
      <c r="T67" s="15"/>
      <c r="U67" s="39" t="s">
        <v>610</v>
      </c>
      <c r="V67" s="40">
        <v>405038.07</v>
      </c>
      <c r="W67" s="45"/>
      <c r="X67" s="15"/>
    </row>
    <row r="68" spans="8:20">
      <c r="H68" s="15"/>
      <c r="I68" s="15"/>
      <c r="J68" s="15"/>
      <c r="K68" s="24"/>
      <c r="L68" s="24"/>
      <c r="M68" s="15"/>
      <c r="N68" s="15"/>
      <c r="S68" s="25"/>
      <c r="T68" s="15"/>
    </row>
    <row r="69" spans="8:20">
      <c r="H69" s="15"/>
      <c r="I69" s="15"/>
      <c r="J69" s="15"/>
      <c r="K69" s="24"/>
      <c r="L69" s="24"/>
      <c r="M69" s="15"/>
      <c r="N69" s="15"/>
      <c r="S69" s="25"/>
      <c r="T69" s="15"/>
    </row>
    <row r="70" spans="8:20">
      <c r="H70" s="15"/>
      <c r="I70" s="15"/>
      <c r="J70" s="15"/>
      <c r="K70" s="24"/>
      <c r="L70" s="24"/>
      <c r="M70" s="15"/>
      <c r="N70" s="15"/>
      <c r="S70" s="25"/>
      <c r="T70" s="15"/>
    </row>
    <row r="71" spans="8:20">
      <c r="H71" s="15"/>
      <c r="I71" s="15"/>
      <c r="J71" s="15"/>
      <c r="K71" s="24"/>
      <c r="L71" s="24"/>
      <c r="M71" s="15"/>
      <c r="N71" s="15"/>
      <c r="S71" s="25"/>
      <c r="T71" s="15"/>
    </row>
    <row r="72" spans="8:20">
      <c r="H72" s="15"/>
      <c r="I72" s="15"/>
      <c r="J72" s="15"/>
      <c r="K72" s="24"/>
      <c r="L72" s="24"/>
      <c r="M72" s="15"/>
      <c r="N72" s="15"/>
      <c r="S72" s="25"/>
      <c r="T72" s="15"/>
    </row>
    <row r="73" spans="8:20">
      <c r="H73" s="15"/>
      <c r="I73" s="15"/>
      <c r="J73" s="15"/>
      <c r="K73" s="24"/>
      <c r="L73" s="24"/>
      <c r="M73" s="15"/>
      <c r="N73" s="15"/>
      <c r="S73" s="25"/>
      <c r="T73" s="15"/>
    </row>
    <row r="74" spans="8:20">
      <c r="H74" s="15"/>
      <c r="I74" s="15"/>
      <c r="J74" s="15"/>
      <c r="K74" s="24"/>
      <c r="L74" s="24"/>
      <c r="M74" s="15"/>
      <c r="N74" s="15"/>
      <c r="S74" s="25"/>
      <c r="T74" s="15"/>
    </row>
    <row r="75" spans="8:20">
      <c r="H75" s="15"/>
      <c r="I75" s="15"/>
      <c r="J75" s="15"/>
      <c r="K75" s="24"/>
      <c r="L75" s="24"/>
      <c r="M75" s="15"/>
      <c r="N75" s="15"/>
      <c r="S75" s="25"/>
      <c r="T75" s="15"/>
    </row>
    <row r="76" spans="8:20">
      <c r="H76" s="15"/>
      <c r="I76" s="15"/>
      <c r="J76" s="15"/>
      <c r="K76" s="24"/>
      <c r="L76" s="24"/>
      <c r="M76" s="15"/>
      <c r="N76" s="15"/>
      <c r="S76" s="25"/>
      <c r="T76" s="15"/>
    </row>
    <row r="77" spans="8:20">
      <c r="H77" s="15"/>
      <c r="I77" s="15"/>
      <c r="J77" s="15"/>
      <c r="K77" s="24"/>
      <c r="L77" s="24"/>
      <c r="M77" s="15"/>
      <c r="N77" s="15"/>
      <c r="S77" s="25"/>
      <c r="T77" s="15"/>
    </row>
    <row r="78" spans="8:20">
      <c r="H78" s="15"/>
      <c r="I78" s="15"/>
      <c r="J78" s="15"/>
      <c r="K78" s="24"/>
      <c r="L78" s="24"/>
      <c r="M78" s="15"/>
      <c r="N78" s="15"/>
      <c r="S78" s="25"/>
      <c r="T78" s="15"/>
    </row>
    <row r="79" spans="8:20">
      <c r="H79" s="15"/>
      <c r="I79" s="15"/>
      <c r="J79" s="15"/>
      <c r="K79" s="24"/>
      <c r="L79" s="24"/>
      <c r="M79" s="15"/>
      <c r="N79" s="15"/>
      <c r="S79" s="25"/>
      <c r="T79" s="15"/>
    </row>
    <row r="80" spans="8:20">
      <c r="H80" s="15"/>
      <c r="I80" s="15"/>
      <c r="J80" s="15"/>
      <c r="K80" s="24"/>
      <c r="L80" s="24"/>
      <c r="M80" s="15"/>
      <c r="N80" s="15"/>
      <c r="S80" s="25"/>
      <c r="T80" s="15"/>
    </row>
    <row r="81" spans="8:20">
      <c r="H81" s="15"/>
      <c r="I81" s="15"/>
      <c r="J81" s="15"/>
      <c r="K81" s="24"/>
      <c r="L81" s="24"/>
      <c r="M81" s="15"/>
      <c r="N81" s="15"/>
      <c r="S81" s="25"/>
      <c r="T81" s="15"/>
    </row>
    <row r="82" spans="8:20">
      <c r="H82" s="15"/>
      <c r="I82" s="15"/>
      <c r="J82" s="15"/>
      <c r="K82" s="24"/>
      <c r="L82" s="24"/>
      <c r="M82" s="15"/>
      <c r="N82" s="15">
        <v>2</v>
      </c>
      <c r="S82" s="25"/>
      <c r="T82" s="15"/>
    </row>
    <row r="83" spans="8:20">
      <c r="H83" s="15"/>
      <c r="I83" s="15"/>
      <c r="J83" s="15"/>
      <c r="K83" s="24"/>
      <c r="L83" s="24"/>
      <c r="M83" s="15"/>
      <c r="N83" s="15"/>
      <c r="S83" s="25"/>
      <c r="T83" s="15"/>
    </row>
    <row r="84" spans="8:20">
      <c r="H84" s="15"/>
      <c r="I84" s="15"/>
      <c r="J84" s="15"/>
      <c r="K84" s="24"/>
      <c r="L84" s="24"/>
      <c r="M84" s="15"/>
      <c r="N84" s="15"/>
      <c r="S84" s="25"/>
      <c r="T84" s="15"/>
    </row>
    <row r="85" spans="8:20">
      <c r="H85" s="15"/>
      <c r="I85" s="15"/>
      <c r="J85" s="15"/>
      <c r="K85" s="24"/>
      <c r="L85" s="24"/>
      <c r="M85" s="15"/>
      <c r="N85" s="15"/>
      <c r="S85" s="25"/>
      <c r="T85" s="15"/>
    </row>
  </sheetData>
  <mergeCells count="9">
    <mergeCell ref="B1:F1"/>
    <mergeCell ref="I1:M1"/>
    <mergeCell ref="P1:T1"/>
    <mergeCell ref="I9:M9"/>
    <mergeCell ref="P9:T9"/>
    <mergeCell ref="B31:F31"/>
    <mergeCell ref="I31:M31"/>
    <mergeCell ref="P31:T31"/>
    <mergeCell ref="B52:F5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43"/>
  <sheetViews>
    <sheetView view="pageBreakPreview" zoomScale="80" zoomScaleNormal="80" workbookViewId="0">
      <selection activeCell="C35" sqref="C35"/>
    </sheetView>
  </sheetViews>
  <sheetFormatPr defaultColWidth="9" defaultRowHeight="27" customHeight="1"/>
  <cols>
    <col min="1" max="1" width="31.75" style="337" customWidth="1"/>
    <col min="2" max="2" width="4" style="199" customWidth="1"/>
    <col min="3" max="3" width="12.375" style="201" customWidth="1"/>
    <col min="4" max="4" width="12" style="201" customWidth="1"/>
    <col min="5" max="5" width="39.375" style="337" customWidth="1"/>
    <col min="6" max="6" width="5" style="199" customWidth="1"/>
    <col min="7" max="8" width="12.25" style="201" customWidth="1"/>
    <col min="9" max="9" width="19.125" style="65" customWidth="1"/>
    <col min="10" max="16384" width="9" style="200"/>
  </cols>
  <sheetData>
    <row r="1" customHeight="1" spans="1:8">
      <c r="A1" s="302" t="s">
        <v>286</v>
      </c>
      <c r="B1" s="303"/>
      <c r="C1" s="303"/>
      <c r="D1" s="303"/>
      <c r="E1" s="302"/>
      <c r="F1" s="303"/>
      <c r="G1" s="303"/>
      <c r="H1" s="303"/>
    </row>
    <row r="2" customHeight="1" spans="1:8">
      <c r="A2" s="338"/>
      <c r="C2" s="339"/>
      <c r="D2" s="339"/>
      <c r="E2" s="338"/>
      <c r="G2" s="340"/>
      <c r="H2" s="341"/>
    </row>
    <row r="3" s="336" customFormat="1" customHeight="1" spans="1:9">
      <c r="A3" s="342" t="s">
        <v>1</v>
      </c>
      <c r="B3" s="342"/>
      <c r="C3" s="342"/>
      <c r="D3" s="343" t="s">
        <v>287</v>
      </c>
      <c r="E3" s="344"/>
      <c r="F3" s="345"/>
      <c r="G3" s="346" t="s">
        <v>2</v>
      </c>
      <c r="H3" s="347"/>
      <c r="I3" s="355"/>
    </row>
    <row r="4" s="199" customFormat="1" customHeight="1" spans="1:9">
      <c r="A4" s="348" t="s">
        <v>3</v>
      </c>
      <c r="B4" s="206" t="s">
        <v>4</v>
      </c>
      <c r="C4" s="349" t="s">
        <v>288</v>
      </c>
      <c r="D4" s="349" t="s">
        <v>289</v>
      </c>
      <c r="E4" s="348" t="s">
        <v>3</v>
      </c>
      <c r="F4" s="206" t="s">
        <v>4</v>
      </c>
      <c r="G4" s="349" t="s">
        <v>288</v>
      </c>
      <c r="H4" s="349" t="s">
        <v>289</v>
      </c>
      <c r="I4" s="72"/>
    </row>
    <row r="5" customHeight="1" spans="1:8">
      <c r="A5" s="350" t="s">
        <v>290</v>
      </c>
      <c r="B5" s="206">
        <v>1</v>
      </c>
      <c r="C5" s="207">
        <f>SUM(C6:C9)</f>
        <v>17278258.61</v>
      </c>
      <c r="D5" s="207">
        <f>SUM(D6:D9)</f>
        <v>7188578.24</v>
      </c>
      <c r="E5" s="351" t="s">
        <v>291</v>
      </c>
      <c r="F5" s="206">
        <v>34</v>
      </c>
      <c r="G5" s="207"/>
      <c r="H5" s="207"/>
    </row>
    <row r="6" customHeight="1" spans="1:8">
      <c r="A6" s="351" t="s">
        <v>292</v>
      </c>
      <c r="B6" s="206">
        <v>2</v>
      </c>
      <c r="C6" s="209">
        <f>利润表合并过程!C4</f>
        <v>17278258.61</v>
      </c>
      <c r="D6" s="166">
        <f>利润表合并过程!C41</f>
        <v>7188578.24</v>
      </c>
      <c r="E6" s="351" t="s">
        <v>293</v>
      </c>
      <c r="F6" s="206">
        <v>35</v>
      </c>
      <c r="G6" s="207"/>
      <c r="H6" s="207"/>
    </row>
    <row r="7" customHeight="1" spans="1:9">
      <c r="A7" s="351" t="s">
        <v>294</v>
      </c>
      <c r="B7" s="206">
        <v>3</v>
      </c>
      <c r="C7" s="207">
        <v>0</v>
      </c>
      <c r="D7" s="207">
        <v>0</v>
      </c>
      <c r="E7" s="351" t="s">
        <v>295</v>
      </c>
      <c r="F7" s="206">
        <v>36</v>
      </c>
      <c r="G7" s="207"/>
      <c r="H7" s="207"/>
      <c r="I7" s="235"/>
    </row>
    <row r="8" customHeight="1" spans="1:8">
      <c r="A8" s="351" t="s">
        <v>296</v>
      </c>
      <c r="B8" s="206">
        <v>4</v>
      </c>
      <c r="C8" s="207">
        <v>0</v>
      </c>
      <c r="D8" s="207">
        <v>0</v>
      </c>
      <c r="E8" s="351" t="s">
        <v>297</v>
      </c>
      <c r="F8" s="206">
        <v>37</v>
      </c>
      <c r="G8" s="207">
        <f>利润表合并过程!K6</f>
        <v>53495.55</v>
      </c>
      <c r="H8" s="166">
        <f>利润表合并过程!K43</f>
        <v>10134.41</v>
      </c>
    </row>
    <row r="9" customHeight="1" spans="1:8">
      <c r="A9" s="351" t="s">
        <v>298</v>
      </c>
      <c r="B9" s="206">
        <v>5</v>
      </c>
      <c r="C9" s="207">
        <v>0</v>
      </c>
      <c r="D9" s="207">
        <v>0</v>
      </c>
      <c r="E9" s="351" t="s">
        <v>299</v>
      </c>
      <c r="F9" s="206">
        <v>38</v>
      </c>
      <c r="G9" s="207"/>
      <c r="H9" s="207">
        <v>0</v>
      </c>
    </row>
    <row r="10" customHeight="1" spans="1:9">
      <c r="A10" s="350" t="s">
        <v>300</v>
      </c>
      <c r="B10" s="206">
        <v>6</v>
      </c>
      <c r="C10" s="207">
        <f>SUM(C11:C21)+C24+C28+C29</f>
        <v>14705011.439</v>
      </c>
      <c r="D10" s="207">
        <f>SUM(D11:D21)+D24+D28+D29</f>
        <v>9514703.36</v>
      </c>
      <c r="E10" s="351" t="s">
        <v>301</v>
      </c>
      <c r="F10" s="206">
        <v>39</v>
      </c>
      <c r="G10" s="207"/>
      <c r="H10" s="207"/>
      <c r="I10" s="236"/>
    </row>
    <row r="11" customHeight="1" spans="1:9">
      <c r="A11" s="351" t="s">
        <v>302</v>
      </c>
      <c r="B11" s="206">
        <v>7</v>
      </c>
      <c r="C11" s="207">
        <f>利润表合并过程!C9</f>
        <v>5165614.96</v>
      </c>
      <c r="D11" s="166">
        <f>利润表合并过程!C46</f>
        <v>5300198.79</v>
      </c>
      <c r="E11" s="351" t="s">
        <v>303</v>
      </c>
      <c r="F11" s="206">
        <v>40</v>
      </c>
      <c r="G11" s="207"/>
      <c r="H11" s="207"/>
      <c r="I11" s="235"/>
    </row>
    <row r="12" customHeight="1" spans="1:8">
      <c r="A12" s="351" t="s">
        <v>304</v>
      </c>
      <c r="B12" s="206">
        <v>8</v>
      </c>
      <c r="C12" s="207">
        <v>0</v>
      </c>
      <c r="D12" s="207">
        <v>0</v>
      </c>
      <c r="E12" s="350" t="s">
        <v>305</v>
      </c>
      <c r="F12" s="206">
        <v>41</v>
      </c>
      <c r="G12" s="207">
        <f>C35+C36-G8</f>
        <v>2669770.051</v>
      </c>
      <c r="H12" s="207">
        <f>D35+D36-H8</f>
        <v>322554.100000001</v>
      </c>
    </row>
    <row r="13" customHeight="1" spans="1:9">
      <c r="A13" s="351" t="s">
        <v>306</v>
      </c>
      <c r="B13" s="206">
        <v>9</v>
      </c>
      <c r="C13" s="207">
        <v>0</v>
      </c>
      <c r="D13" s="207">
        <v>0</v>
      </c>
      <c r="E13" s="351" t="s">
        <v>307</v>
      </c>
      <c r="F13" s="206">
        <v>42</v>
      </c>
      <c r="G13" s="207">
        <f>利润表合并过程!K11</f>
        <v>869282.61</v>
      </c>
      <c r="H13" s="207">
        <f>利润表合并过程!K48</f>
        <v>50390.05</v>
      </c>
      <c r="I13" s="235"/>
    </row>
    <row r="14" customHeight="1" spans="1:9">
      <c r="A14" s="351" t="s">
        <v>308</v>
      </c>
      <c r="B14" s="206">
        <v>10</v>
      </c>
      <c r="C14" s="207">
        <v>0</v>
      </c>
      <c r="D14" s="207">
        <v>0</v>
      </c>
      <c r="E14" s="350" t="s">
        <v>309</v>
      </c>
      <c r="F14" s="206">
        <v>43</v>
      </c>
      <c r="G14" s="207">
        <f>G12-G13</f>
        <v>1800487.441</v>
      </c>
      <c r="H14" s="207">
        <f>H12-H13</f>
        <v>272164.050000001</v>
      </c>
      <c r="I14" s="236"/>
    </row>
    <row r="15" customHeight="1" spans="1:9">
      <c r="A15" s="351" t="s">
        <v>310</v>
      </c>
      <c r="B15" s="206">
        <v>11</v>
      </c>
      <c r="C15" s="207">
        <v>0</v>
      </c>
      <c r="D15" s="207">
        <v>0</v>
      </c>
      <c r="E15" s="351" t="s">
        <v>311</v>
      </c>
      <c r="F15" s="206">
        <v>44</v>
      </c>
      <c r="G15" s="207"/>
      <c r="H15" s="207"/>
      <c r="I15" s="236"/>
    </row>
    <row r="16" customHeight="1" spans="1:8">
      <c r="A16" s="351" t="s">
        <v>312</v>
      </c>
      <c r="B16" s="206">
        <v>12</v>
      </c>
      <c r="C16" s="207">
        <v>0</v>
      </c>
      <c r="D16" s="207">
        <v>0</v>
      </c>
      <c r="E16" s="351" t="s">
        <v>313</v>
      </c>
      <c r="F16" s="206">
        <v>45</v>
      </c>
      <c r="G16" s="228"/>
      <c r="H16" s="228"/>
    </row>
    <row r="17" customHeight="1" spans="1:8">
      <c r="A17" s="351" t="s">
        <v>314</v>
      </c>
      <c r="B17" s="206">
        <v>13</v>
      </c>
      <c r="C17" s="207">
        <v>0</v>
      </c>
      <c r="D17" s="207">
        <v>0</v>
      </c>
      <c r="E17" s="351" t="s">
        <v>315</v>
      </c>
      <c r="F17" s="206">
        <v>46</v>
      </c>
      <c r="G17" s="207"/>
      <c r="H17" s="207"/>
    </row>
    <row r="18" customHeight="1" spans="1:8">
      <c r="A18" s="351" t="s">
        <v>316</v>
      </c>
      <c r="B18" s="206">
        <v>14</v>
      </c>
      <c r="C18" s="207">
        <v>0</v>
      </c>
      <c r="D18" s="207">
        <v>0</v>
      </c>
      <c r="E18" s="351" t="s">
        <v>317</v>
      </c>
      <c r="F18" s="206">
        <v>47</v>
      </c>
      <c r="G18" s="207"/>
      <c r="H18" s="207"/>
    </row>
    <row r="19" customHeight="1" spans="1:8">
      <c r="A19" s="351" t="s">
        <v>318</v>
      </c>
      <c r="B19" s="206">
        <v>15</v>
      </c>
      <c r="C19" s="207">
        <f>利润表合并过程!C17</f>
        <v>81.57</v>
      </c>
      <c r="D19" s="166">
        <f>利润表合并过程!C54</f>
        <v>43684.3</v>
      </c>
      <c r="E19" s="350" t="s">
        <v>319</v>
      </c>
      <c r="F19" s="206">
        <v>48</v>
      </c>
      <c r="G19" s="207">
        <v>0</v>
      </c>
      <c r="H19" s="207">
        <v>0</v>
      </c>
    </row>
    <row r="20" customHeight="1" spans="1:8">
      <c r="A20" s="351" t="s">
        <v>320</v>
      </c>
      <c r="B20" s="206">
        <v>16</v>
      </c>
      <c r="C20" s="207">
        <f>利润表合并过程!C18</f>
        <v>754.21</v>
      </c>
      <c r="D20" s="166"/>
      <c r="E20" s="351" t="s">
        <v>321</v>
      </c>
      <c r="F20" s="206">
        <v>49</v>
      </c>
      <c r="G20" s="207">
        <v>0</v>
      </c>
      <c r="H20" s="207">
        <v>0</v>
      </c>
    </row>
    <row r="21" customHeight="1" spans="1:8">
      <c r="A21" s="351" t="s">
        <v>322</v>
      </c>
      <c r="B21" s="206">
        <v>17</v>
      </c>
      <c r="C21" s="209">
        <f>利润表合并过程!C19</f>
        <v>9454160.76</v>
      </c>
      <c r="D21" s="166">
        <f>利润表合并过程!C56</f>
        <v>4325033.5</v>
      </c>
      <c r="E21" s="351" t="s">
        <v>323</v>
      </c>
      <c r="F21" s="206">
        <v>50</v>
      </c>
      <c r="G21" s="207">
        <v>0</v>
      </c>
      <c r="H21" s="207">
        <v>0</v>
      </c>
    </row>
    <row r="22" customHeight="1" spans="1:8">
      <c r="A22" s="351" t="s">
        <v>324</v>
      </c>
      <c r="B22" s="206">
        <v>18</v>
      </c>
      <c r="C22" s="207"/>
      <c r="D22" s="207"/>
      <c r="E22" s="351" t="s">
        <v>325</v>
      </c>
      <c r="F22" s="206">
        <v>51</v>
      </c>
      <c r="G22" s="207">
        <v>0</v>
      </c>
      <c r="H22" s="207">
        <v>0</v>
      </c>
    </row>
    <row r="23" customHeight="1" spans="1:8">
      <c r="A23" s="351" t="s">
        <v>326</v>
      </c>
      <c r="B23" s="206">
        <v>19</v>
      </c>
      <c r="C23" s="207"/>
      <c r="D23" s="207"/>
      <c r="E23" s="229" t="s">
        <v>327</v>
      </c>
      <c r="F23" s="206">
        <v>52</v>
      </c>
      <c r="G23" s="207"/>
      <c r="H23" s="207"/>
    </row>
    <row r="24" customHeight="1" spans="1:8">
      <c r="A24" s="351" t="s">
        <v>328</v>
      </c>
      <c r="B24" s="206">
        <v>20</v>
      </c>
      <c r="C24" s="207">
        <f>C25+C26</f>
        <v>-61961.85</v>
      </c>
      <c r="D24" s="207">
        <f>D25+D26</f>
        <v>-144785.71</v>
      </c>
      <c r="E24" s="351" t="s">
        <v>329</v>
      </c>
      <c r="F24" s="206">
        <v>53</v>
      </c>
      <c r="G24" s="207">
        <v>0</v>
      </c>
      <c r="H24" s="207">
        <v>0</v>
      </c>
    </row>
    <row r="25" customHeight="1" spans="1:8">
      <c r="A25" s="351" t="s">
        <v>330</v>
      </c>
      <c r="B25" s="206">
        <v>21</v>
      </c>
      <c r="C25" s="213">
        <f>利润表合并过程!C23</f>
        <v>7843.82</v>
      </c>
      <c r="D25" s="213">
        <f>利润表合并过程!C60</f>
        <v>2357.5</v>
      </c>
      <c r="E25" s="229" t="s">
        <v>331</v>
      </c>
      <c r="F25" s="206">
        <v>54</v>
      </c>
      <c r="G25" s="207">
        <v>0</v>
      </c>
      <c r="H25" s="207">
        <v>0</v>
      </c>
    </row>
    <row r="26" customHeight="1" spans="1:8">
      <c r="A26" s="351" t="s">
        <v>332</v>
      </c>
      <c r="B26" s="206">
        <v>22</v>
      </c>
      <c r="C26" s="213">
        <f>利润表合并过程!C24</f>
        <v>-69805.67</v>
      </c>
      <c r="D26" s="213">
        <f>利润表合并过程!C61</f>
        <v>-147143.21</v>
      </c>
      <c r="E26" s="351" t="s">
        <v>333</v>
      </c>
      <c r="F26" s="206">
        <v>55</v>
      </c>
      <c r="G26" s="207">
        <v>0</v>
      </c>
      <c r="H26" s="207">
        <v>0</v>
      </c>
    </row>
    <row r="27" customHeight="1" spans="1:8">
      <c r="A27" s="351" t="s">
        <v>334</v>
      </c>
      <c r="B27" s="206">
        <v>23</v>
      </c>
      <c r="C27" s="207"/>
      <c r="D27" s="207"/>
      <c r="E27" s="351" t="s">
        <v>335</v>
      </c>
      <c r="F27" s="206">
        <v>56</v>
      </c>
      <c r="G27" s="207">
        <v>0</v>
      </c>
      <c r="H27" s="207">
        <v>0</v>
      </c>
    </row>
    <row r="28" customHeight="1" spans="1:8">
      <c r="A28" s="351" t="s">
        <v>336</v>
      </c>
      <c r="B28" s="206">
        <v>24</v>
      </c>
      <c r="C28" s="207">
        <f>利润表合并过程!C26</f>
        <v>146361.789</v>
      </c>
      <c r="D28" s="207">
        <f>利润表合并过程!C63</f>
        <v>-9427.52</v>
      </c>
      <c r="E28" s="351" t="s">
        <v>337</v>
      </c>
      <c r="F28" s="206">
        <v>57</v>
      </c>
      <c r="G28" s="207">
        <v>0</v>
      </c>
      <c r="H28" s="207">
        <v>0</v>
      </c>
    </row>
    <row r="29" customHeight="1" spans="1:9">
      <c r="A29" s="351" t="s">
        <v>338</v>
      </c>
      <c r="B29" s="206">
        <v>25</v>
      </c>
      <c r="C29" s="207">
        <v>0</v>
      </c>
      <c r="D29" s="207">
        <v>0</v>
      </c>
      <c r="E29" s="351" t="s">
        <v>339</v>
      </c>
      <c r="F29" s="206">
        <v>58</v>
      </c>
      <c r="G29" s="207"/>
      <c r="H29" s="207"/>
      <c r="I29" s="235"/>
    </row>
    <row r="30" customHeight="1" spans="1:8">
      <c r="A30" s="351" t="s">
        <v>340</v>
      </c>
      <c r="B30" s="206">
        <v>26</v>
      </c>
      <c r="C30" s="207">
        <v>0</v>
      </c>
      <c r="D30" s="207">
        <v>0</v>
      </c>
      <c r="E30" s="351" t="s">
        <v>341</v>
      </c>
      <c r="F30" s="206">
        <v>59</v>
      </c>
      <c r="G30" s="207"/>
      <c r="H30" s="207"/>
    </row>
    <row r="31" customHeight="1" spans="1:8">
      <c r="A31" s="351" t="s">
        <v>342</v>
      </c>
      <c r="B31" s="206">
        <v>27</v>
      </c>
      <c r="C31" s="207">
        <f>利润表合并过程!C29</f>
        <v>150000</v>
      </c>
      <c r="D31" s="207">
        <v>421698.63</v>
      </c>
      <c r="E31" s="350" t="s">
        <v>343</v>
      </c>
      <c r="F31" s="206">
        <v>60</v>
      </c>
      <c r="G31" s="207">
        <f>G32+G33</f>
        <v>1800487.441</v>
      </c>
      <c r="H31" s="207">
        <f>H32+H3</f>
        <v>272164.050000001</v>
      </c>
    </row>
    <row r="32" customHeight="1" spans="1:8">
      <c r="A32" s="351" t="s">
        <v>344</v>
      </c>
      <c r="B32" s="206">
        <v>28</v>
      </c>
      <c r="C32" s="207">
        <v>0</v>
      </c>
      <c r="D32" s="207">
        <v>0</v>
      </c>
      <c r="E32" s="351" t="s">
        <v>345</v>
      </c>
      <c r="F32" s="206">
        <v>61</v>
      </c>
      <c r="G32" s="207">
        <f>G14</f>
        <v>1800487.441</v>
      </c>
      <c r="H32" s="207">
        <f>H14</f>
        <v>272164.050000001</v>
      </c>
    </row>
    <row r="33" customHeight="1" spans="1:8">
      <c r="A33" s="351" t="s">
        <v>346</v>
      </c>
      <c r="B33" s="206">
        <v>29</v>
      </c>
      <c r="C33" s="207">
        <v>0</v>
      </c>
      <c r="D33" s="207">
        <v>0</v>
      </c>
      <c r="E33" s="351" t="s">
        <v>347</v>
      </c>
      <c r="F33" s="206">
        <v>62</v>
      </c>
      <c r="G33" s="207"/>
      <c r="H33" s="207"/>
    </row>
    <row r="34" customHeight="1" spans="1:8">
      <c r="A34" s="352" t="s">
        <v>348</v>
      </c>
      <c r="B34" s="206">
        <v>30</v>
      </c>
      <c r="C34" s="207"/>
      <c r="D34" s="207"/>
      <c r="E34" s="230" t="s">
        <v>349</v>
      </c>
      <c r="F34" s="206">
        <v>63</v>
      </c>
      <c r="G34" s="207"/>
      <c r="H34" s="207"/>
    </row>
    <row r="35" customHeight="1" spans="1:8">
      <c r="A35" s="350" t="s">
        <v>350</v>
      </c>
      <c r="B35" s="206">
        <v>31</v>
      </c>
      <c r="C35" s="207">
        <f>C5-C10+C30+C31+C33+C34</f>
        <v>2723247.171</v>
      </c>
      <c r="D35" s="207">
        <f>D5-D10+D30+D31+D33+D34</f>
        <v>-1904426.49</v>
      </c>
      <c r="E35" s="229" t="s">
        <v>351</v>
      </c>
      <c r="F35" s="206">
        <v>64</v>
      </c>
      <c r="G35" s="207"/>
      <c r="H35" s="207"/>
    </row>
    <row r="36" customHeight="1" spans="1:8">
      <c r="A36" s="352" t="s">
        <v>352</v>
      </c>
      <c r="B36" s="206">
        <v>32</v>
      </c>
      <c r="C36" s="209">
        <f>利润表合并过程!C34</f>
        <v>18.43</v>
      </c>
      <c r="D36" s="166">
        <f>利润表合并过程!C71</f>
        <v>2237115</v>
      </c>
      <c r="E36" s="229" t="s">
        <v>353</v>
      </c>
      <c r="F36" s="206">
        <v>65</v>
      </c>
      <c r="G36" s="207"/>
      <c r="H36" s="207"/>
    </row>
    <row r="37" customHeight="1" spans="1:8">
      <c r="A37" s="352" t="s">
        <v>354</v>
      </c>
      <c r="B37" s="206">
        <v>33</v>
      </c>
      <c r="C37" s="207"/>
      <c r="D37" s="207"/>
      <c r="E37" s="229"/>
      <c r="F37" s="206">
        <v>66</v>
      </c>
      <c r="G37" s="207"/>
      <c r="H37" s="207"/>
    </row>
    <row r="38" customHeight="1" spans="1:8">
      <c r="A38" s="353" t="s">
        <v>355</v>
      </c>
      <c r="B38" s="353"/>
      <c r="C38" s="353"/>
      <c r="D38" s="353"/>
      <c r="E38" s="353"/>
      <c r="F38" s="353"/>
      <c r="G38" s="353"/>
      <c r="H38" s="353"/>
    </row>
    <row r="39" customHeight="1" spans="1:8">
      <c r="A39" s="337" t="s">
        <v>356</v>
      </c>
      <c r="C39" s="220"/>
      <c r="D39" s="354" t="s">
        <v>357</v>
      </c>
      <c r="F39" s="199" t="s">
        <v>358</v>
      </c>
      <c r="G39" s="220"/>
      <c r="H39" s="220"/>
    </row>
    <row r="40" customHeight="1" spans="3:8">
      <c r="C40" s="220"/>
      <c r="D40" s="220"/>
      <c r="G40" s="220"/>
      <c r="H40" s="220"/>
    </row>
    <row r="41" customHeight="1" spans="3:8">
      <c r="C41" s="220"/>
      <c r="D41" s="220"/>
      <c r="G41" s="220"/>
      <c r="H41" s="220"/>
    </row>
    <row r="42" customHeight="1" spans="3:8">
      <c r="C42" s="220"/>
      <c r="D42" s="220"/>
      <c r="G42" s="220"/>
      <c r="H42" s="220"/>
    </row>
    <row r="43" customHeight="1" spans="3:8">
      <c r="C43" s="220"/>
      <c r="D43" s="220"/>
      <c r="G43" s="220"/>
      <c r="H43" s="220"/>
    </row>
  </sheetData>
  <mergeCells count="6">
    <mergeCell ref="A1:H1"/>
    <mergeCell ref="G2:H2"/>
    <mergeCell ref="A3:C3"/>
    <mergeCell ref="D3:E3"/>
    <mergeCell ref="G3:H3"/>
    <mergeCell ref="A38:H38"/>
  </mergeCells>
  <pageMargins left="0.751388888888889" right="0.236111111111111" top="0.432638888888889" bottom="0.314583333333333" header="0.314583333333333" footer="0.236111111111111"/>
  <pageSetup paperSize="9" scale="69" orientation="portrait" horizontalDpi="600"/>
  <headerFooter>
    <oddFooter>&amp;C5</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I37"/>
  <sheetViews>
    <sheetView view="pageBreakPreview" zoomScale="80" zoomScaleNormal="80" topLeftCell="A19" workbookViewId="0">
      <selection activeCell="C30" sqref="C30"/>
    </sheetView>
  </sheetViews>
  <sheetFormatPr defaultColWidth="9" defaultRowHeight="15"/>
  <cols>
    <col min="1" max="1" width="28.625" style="301" customWidth="1"/>
    <col min="2" max="2" width="5.375" style="137" customWidth="1"/>
    <col min="3" max="3" width="16.2416666666667" style="136" customWidth="1"/>
    <col min="4" max="4" width="16.5583333333333" style="136" customWidth="1"/>
    <col min="5" max="5" width="29.125" style="301" customWidth="1"/>
    <col min="6" max="6" width="4.875" style="137" customWidth="1"/>
    <col min="7" max="7" width="17.3416666666667" style="136" customWidth="1"/>
    <col min="8" max="8" width="16.7083333333333" style="136" customWidth="1"/>
    <col min="9" max="9" width="16.125" style="137"/>
    <col min="10" max="16384" width="9" style="137"/>
  </cols>
  <sheetData>
    <row r="1" ht="31" customHeight="1" spans="1:8">
      <c r="A1" s="302" t="s">
        <v>359</v>
      </c>
      <c r="B1" s="303"/>
      <c r="C1" s="303"/>
      <c r="D1" s="303"/>
      <c r="E1" s="302"/>
      <c r="F1" s="303"/>
      <c r="G1" s="303"/>
      <c r="H1" s="303"/>
    </row>
    <row r="2" spans="1:8">
      <c r="A2" s="304"/>
      <c r="B2" s="135"/>
      <c r="E2" s="304"/>
      <c r="F2" s="135"/>
      <c r="G2" s="305"/>
      <c r="H2" s="306"/>
    </row>
    <row r="3" s="300" customFormat="1" ht="24" customHeight="1" spans="1:8">
      <c r="A3" s="307" t="s">
        <v>1</v>
      </c>
      <c r="B3" s="307"/>
      <c r="C3" s="307"/>
      <c r="D3" s="307"/>
      <c r="E3" s="308" t="s">
        <v>287</v>
      </c>
      <c r="F3" s="309"/>
      <c r="G3" s="310" t="s">
        <v>2</v>
      </c>
      <c r="H3" s="311"/>
    </row>
    <row r="4" ht="27" customHeight="1" spans="1:8">
      <c r="A4" s="375" t="s">
        <v>360</v>
      </c>
      <c r="B4" s="376" t="s">
        <v>4</v>
      </c>
      <c r="C4" s="377" t="s">
        <v>361</v>
      </c>
      <c r="D4" s="313" t="s">
        <v>362</v>
      </c>
      <c r="E4" s="375" t="s">
        <v>363</v>
      </c>
      <c r="F4" s="376" t="s">
        <v>4</v>
      </c>
      <c r="G4" s="377" t="s">
        <v>361</v>
      </c>
      <c r="H4" s="313" t="s">
        <v>362</v>
      </c>
    </row>
    <row r="5" s="135" customFormat="1" ht="27" customHeight="1" spans="1:8">
      <c r="A5" s="378" t="s">
        <v>364</v>
      </c>
      <c r="B5" s="379" t="s">
        <v>8</v>
      </c>
      <c r="C5" s="316"/>
      <c r="D5" s="380" t="s">
        <v>365</v>
      </c>
      <c r="E5" s="317" t="s">
        <v>366</v>
      </c>
      <c r="F5" s="379" t="s">
        <v>125</v>
      </c>
      <c r="G5" s="318"/>
      <c r="H5" s="318"/>
    </row>
    <row r="6" s="135" customFormat="1" ht="27" customHeight="1" spans="1:8">
      <c r="A6" s="381" t="s">
        <v>367</v>
      </c>
      <c r="B6" s="379" t="s">
        <v>13</v>
      </c>
      <c r="C6" s="319">
        <f>现金流量表合并过程!C3</f>
        <v>12926231.62</v>
      </c>
      <c r="D6" s="319">
        <f>现金流量表合并过程!C37</f>
        <v>7189621.91</v>
      </c>
      <c r="E6" s="381" t="s">
        <v>368</v>
      </c>
      <c r="F6" s="379" t="s">
        <v>129</v>
      </c>
      <c r="G6" s="318">
        <v>0</v>
      </c>
      <c r="H6" s="318">
        <v>0</v>
      </c>
    </row>
    <row r="7" s="135" customFormat="1" ht="27" customHeight="1" spans="1:8">
      <c r="A7" s="320" t="s">
        <v>369</v>
      </c>
      <c r="B7" s="379" t="s">
        <v>17</v>
      </c>
      <c r="C7" s="321">
        <f>现金流量表合并过程!C4</f>
        <v>0</v>
      </c>
      <c r="D7" s="321">
        <f>现金流量表合并过程!C38</f>
        <v>0</v>
      </c>
      <c r="E7" s="381" t="s">
        <v>370</v>
      </c>
      <c r="F7" s="379" t="s">
        <v>133</v>
      </c>
      <c r="G7" s="322">
        <f>现金流量表合并过程!I4</f>
        <v>0</v>
      </c>
      <c r="H7" s="318">
        <f>现金流量表合并过程!I38</f>
        <v>488600</v>
      </c>
    </row>
    <row r="8" s="135" customFormat="1" ht="27" customHeight="1" spans="1:8">
      <c r="A8" s="320" t="s">
        <v>371</v>
      </c>
      <c r="B8" s="379" t="s">
        <v>21</v>
      </c>
      <c r="C8" s="321">
        <f>现金流量表合并过程!C5</f>
        <v>0</v>
      </c>
      <c r="D8" s="321">
        <f>现金流量表合并过程!C39</f>
        <v>0</v>
      </c>
      <c r="E8" s="382" t="s">
        <v>372</v>
      </c>
      <c r="F8" s="379" t="s">
        <v>137</v>
      </c>
      <c r="G8" s="324">
        <f>C32+C33+SUM(G5:G7)</f>
        <v>46150000</v>
      </c>
      <c r="H8" s="324">
        <f>D32+D33+SUM(H5:H7)</f>
        <v>40910298.63</v>
      </c>
    </row>
    <row r="9" s="135" customFormat="1" ht="27" customHeight="1" spans="1:8">
      <c r="A9" s="320" t="s">
        <v>373</v>
      </c>
      <c r="B9" s="379" t="s">
        <v>25</v>
      </c>
      <c r="C9" s="321">
        <f>现金流量表合并过程!C6</f>
        <v>0</v>
      </c>
      <c r="D9" s="321">
        <f>现金流量表合并过程!C40</f>
        <v>0</v>
      </c>
      <c r="E9" s="317" t="s">
        <v>374</v>
      </c>
      <c r="F9" s="379" t="s">
        <v>141</v>
      </c>
      <c r="G9" s="322">
        <f>现金流量表合并过程!I6</f>
        <v>636823.42</v>
      </c>
      <c r="H9" s="318">
        <f>现金流量表合并过程!I40</f>
        <v>494436.64</v>
      </c>
    </row>
    <row r="10" s="135" customFormat="1" ht="27" customHeight="1" spans="1:8">
      <c r="A10" s="320" t="s">
        <v>375</v>
      </c>
      <c r="B10" s="379" t="s">
        <v>29</v>
      </c>
      <c r="C10" s="321">
        <f>现金流量表合并过程!C7</f>
        <v>0</v>
      </c>
      <c r="D10" s="321">
        <f>现金流量表合并过程!C41</f>
        <v>0</v>
      </c>
      <c r="E10" s="381" t="s">
        <v>376</v>
      </c>
      <c r="F10" s="379" t="s">
        <v>145</v>
      </c>
      <c r="G10" s="318">
        <f>现金流量表合并过程!I7</f>
        <v>0</v>
      </c>
      <c r="H10" s="318">
        <f>现金流量表合并过程!I41</f>
        <v>47000000</v>
      </c>
    </row>
    <row r="11" s="135" customFormat="1" ht="27" customHeight="1" spans="1:8">
      <c r="A11" s="320" t="s">
        <v>377</v>
      </c>
      <c r="B11" s="379" t="s">
        <v>33</v>
      </c>
      <c r="C11" s="321">
        <f>现金流量表合并过程!C8</f>
        <v>0</v>
      </c>
      <c r="D11" s="321">
        <f>现金流量表合并过程!C42</f>
        <v>0</v>
      </c>
      <c r="E11" s="325" t="s">
        <v>378</v>
      </c>
      <c r="F11" s="379" t="s">
        <v>149</v>
      </c>
      <c r="G11" s="318">
        <v>0</v>
      </c>
      <c r="H11" s="318">
        <v>0</v>
      </c>
    </row>
    <row r="12" s="135" customFormat="1" ht="27" customHeight="1" spans="1:8">
      <c r="A12" s="325" t="s">
        <v>379</v>
      </c>
      <c r="B12" s="379" t="s">
        <v>37</v>
      </c>
      <c r="C12" s="321">
        <f>现金流量表合并过程!C9</f>
        <v>0</v>
      </c>
      <c r="D12" s="321">
        <f>现金流量表合并过程!C43</f>
        <v>0</v>
      </c>
      <c r="E12" s="381" t="s">
        <v>380</v>
      </c>
      <c r="F12" s="379" t="s">
        <v>153</v>
      </c>
      <c r="G12" s="318">
        <v>0</v>
      </c>
      <c r="H12" s="318">
        <v>0</v>
      </c>
    </row>
    <row r="13" s="135" customFormat="1" ht="27" customHeight="1" spans="1:8">
      <c r="A13" s="325" t="s">
        <v>381</v>
      </c>
      <c r="B13" s="379" t="s">
        <v>41</v>
      </c>
      <c r="C13" s="321">
        <f>现金流量表合并过程!C10</f>
        <v>0</v>
      </c>
      <c r="D13" s="321">
        <f>现金流量表合并过程!C44</f>
        <v>0</v>
      </c>
      <c r="E13" s="381" t="s">
        <v>382</v>
      </c>
      <c r="F13" s="379" t="s">
        <v>157</v>
      </c>
      <c r="G13" s="322">
        <f>现金流量表合并过程!I10</f>
        <v>0</v>
      </c>
      <c r="H13" s="318">
        <f>现金流量表合并过程!I44</f>
        <v>40000000</v>
      </c>
    </row>
    <row r="14" s="135" customFormat="1" ht="27" customHeight="1" spans="1:8">
      <c r="A14" s="325" t="s">
        <v>383</v>
      </c>
      <c r="B14" s="379" t="s">
        <v>45</v>
      </c>
      <c r="C14" s="321">
        <f>现金流量表合并过程!C11</f>
        <v>0</v>
      </c>
      <c r="D14" s="321">
        <f>现金流量表合并过程!C45</f>
        <v>0</v>
      </c>
      <c r="E14" s="382" t="s">
        <v>384</v>
      </c>
      <c r="F14" s="379" t="s">
        <v>161</v>
      </c>
      <c r="G14" s="324">
        <f>SUM(G9:G13)</f>
        <v>636823.42</v>
      </c>
      <c r="H14" s="324">
        <f>SUM(H9:H13)</f>
        <v>87494436.64</v>
      </c>
    </row>
    <row r="15" s="135" customFormat="1" ht="27" customHeight="1" spans="1:8">
      <c r="A15" s="325" t="s">
        <v>385</v>
      </c>
      <c r="B15" s="379" t="s">
        <v>49</v>
      </c>
      <c r="C15" s="321">
        <f>现金流量表合并过程!C12</f>
        <v>0</v>
      </c>
      <c r="D15" s="321">
        <f>现金流量表合并过程!C46</f>
        <v>0</v>
      </c>
      <c r="E15" s="323" t="s">
        <v>386</v>
      </c>
      <c r="F15" s="379" t="s">
        <v>165</v>
      </c>
      <c r="G15" s="324">
        <f>G8-G14</f>
        <v>45513176.58</v>
      </c>
      <c r="H15" s="324">
        <f>H8-H14</f>
        <v>-46584138.01</v>
      </c>
    </row>
    <row r="16" s="135" customFormat="1" ht="27" customHeight="1" spans="1:8">
      <c r="A16" s="325" t="s">
        <v>387</v>
      </c>
      <c r="B16" s="379" t="s">
        <v>53</v>
      </c>
      <c r="C16" s="321">
        <f>现金流量表合并过程!C13</f>
        <v>0</v>
      </c>
      <c r="D16" s="321">
        <f>现金流量表合并过程!C47</f>
        <v>0</v>
      </c>
      <c r="E16" s="378" t="s">
        <v>388</v>
      </c>
      <c r="F16" s="379" t="s">
        <v>169</v>
      </c>
      <c r="G16" s="316"/>
      <c r="H16" s="316"/>
    </row>
    <row r="17" s="135" customFormat="1" ht="27" customHeight="1" spans="1:8">
      <c r="A17" s="383" t="s">
        <v>389</v>
      </c>
      <c r="B17" s="379" t="s">
        <v>57</v>
      </c>
      <c r="C17" s="319">
        <f>现金流量表合并过程!C14</f>
        <v>451506.46</v>
      </c>
      <c r="D17" s="321">
        <f>现金流量表合并过程!C48</f>
        <v>0</v>
      </c>
      <c r="E17" s="381" t="s">
        <v>390</v>
      </c>
      <c r="F17" s="379" t="s">
        <v>173</v>
      </c>
      <c r="G17" s="322">
        <f>现金流量表合并过程!I14</f>
        <v>0</v>
      </c>
      <c r="H17" s="318">
        <f>现金流量表合并过程!I48</f>
        <v>0</v>
      </c>
    </row>
    <row r="18" s="135" customFormat="1" ht="27" customHeight="1" spans="1:8">
      <c r="A18" s="381" t="s">
        <v>391</v>
      </c>
      <c r="B18" s="379" t="s">
        <v>61</v>
      </c>
      <c r="C18" s="327">
        <f>现金流量表合并过程!C15</f>
        <v>4895650.07</v>
      </c>
      <c r="D18" s="327">
        <f>现金流量表合并过程!C49</f>
        <v>4485751.63</v>
      </c>
      <c r="E18" s="317" t="s">
        <v>392</v>
      </c>
      <c r="F18" s="379" t="s">
        <v>177</v>
      </c>
      <c r="G18" s="318"/>
      <c r="H18" s="318"/>
    </row>
    <row r="19" s="135" customFormat="1" ht="27" customHeight="1" spans="1:8">
      <c r="A19" s="382" t="s">
        <v>393</v>
      </c>
      <c r="B19" s="379" t="s">
        <v>65</v>
      </c>
      <c r="C19" s="324">
        <f>SUM(C6:C18)</f>
        <v>18273388.15</v>
      </c>
      <c r="D19" s="324">
        <f>SUM(D6:D18)</f>
        <v>11675373.54</v>
      </c>
      <c r="E19" s="381" t="s">
        <v>394</v>
      </c>
      <c r="F19" s="379" t="s">
        <v>181</v>
      </c>
      <c r="G19" s="322"/>
      <c r="H19" s="318">
        <v>0</v>
      </c>
    </row>
    <row r="20" s="135" customFormat="1" ht="27" customHeight="1" spans="1:8">
      <c r="A20" s="381" t="s">
        <v>395</v>
      </c>
      <c r="B20" s="379" t="s">
        <v>69</v>
      </c>
      <c r="C20" s="327">
        <f>现金流量表合并过程!C17</f>
        <v>1579672.26</v>
      </c>
      <c r="D20" s="327">
        <f>现金流量表合并过程!C51</f>
        <v>635969.97</v>
      </c>
      <c r="E20" s="317" t="s">
        <v>396</v>
      </c>
      <c r="F20" s="379" t="s">
        <v>185</v>
      </c>
      <c r="G20" s="318">
        <v>0</v>
      </c>
      <c r="H20" s="318">
        <v>0</v>
      </c>
    </row>
    <row r="21" s="135" customFormat="1" ht="27" customHeight="1" spans="1:8">
      <c r="A21" s="325" t="s">
        <v>397</v>
      </c>
      <c r="B21" s="379" t="s">
        <v>73</v>
      </c>
      <c r="C21" s="318"/>
      <c r="D21" s="318"/>
      <c r="E21" s="381" t="s">
        <v>398</v>
      </c>
      <c r="F21" s="379" t="s">
        <v>189</v>
      </c>
      <c r="G21" s="318">
        <v>0</v>
      </c>
      <c r="H21" s="318">
        <v>0</v>
      </c>
    </row>
    <row r="22" s="135" customFormat="1" ht="27" customHeight="1" spans="1:8">
      <c r="A22" s="325" t="s">
        <v>399</v>
      </c>
      <c r="B22" s="379" t="s">
        <v>77</v>
      </c>
      <c r="C22" s="318"/>
      <c r="D22" s="318"/>
      <c r="E22" s="382" t="s">
        <v>400</v>
      </c>
      <c r="F22" s="379" t="s">
        <v>193</v>
      </c>
      <c r="G22" s="324">
        <f>SUM(G17:G21)</f>
        <v>0</v>
      </c>
      <c r="H22" s="324">
        <f>SUM(H17:H21)</f>
        <v>0</v>
      </c>
    </row>
    <row r="23" s="135" customFormat="1" ht="27" customHeight="1" spans="1:8">
      <c r="A23" s="325" t="s">
        <v>401</v>
      </c>
      <c r="B23" s="379" t="s">
        <v>81</v>
      </c>
      <c r="C23" s="318"/>
      <c r="D23" s="318"/>
      <c r="E23" s="381" t="s">
        <v>402</v>
      </c>
      <c r="F23" s="379" t="s">
        <v>197</v>
      </c>
      <c r="G23" s="322"/>
      <c r="H23" s="318"/>
    </row>
    <row r="24" s="135" customFormat="1" ht="27" customHeight="1" spans="1:8">
      <c r="A24" s="325" t="s">
        <v>403</v>
      </c>
      <c r="B24" s="379" t="s">
        <v>85</v>
      </c>
      <c r="C24" s="318"/>
      <c r="D24" s="318"/>
      <c r="E24" s="381" t="s">
        <v>404</v>
      </c>
      <c r="F24" s="379" t="s">
        <v>201</v>
      </c>
      <c r="G24" s="328"/>
      <c r="H24" s="318"/>
    </row>
    <row r="25" s="135" customFormat="1" ht="27" customHeight="1" spans="1:8">
      <c r="A25" s="325" t="s">
        <v>405</v>
      </c>
      <c r="B25" s="379" t="s">
        <v>89</v>
      </c>
      <c r="C25" s="329"/>
      <c r="D25" s="329"/>
      <c r="E25" s="317" t="s">
        <v>406</v>
      </c>
      <c r="F25" s="379" t="s">
        <v>205</v>
      </c>
      <c r="G25" s="318">
        <v>0</v>
      </c>
      <c r="H25" s="318">
        <v>0</v>
      </c>
    </row>
    <row r="26" s="135" customFormat="1" ht="27" customHeight="1" spans="1:8">
      <c r="A26" s="381" t="s">
        <v>407</v>
      </c>
      <c r="B26" s="379" t="s">
        <v>93</v>
      </c>
      <c r="C26" s="327">
        <f>现金流量表合并过程!C23</f>
        <v>9615935.54</v>
      </c>
      <c r="D26" s="327">
        <f>现金流量表合并过程!C57</f>
        <v>4686052.37</v>
      </c>
      <c r="E26" s="381" t="s">
        <v>408</v>
      </c>
      <c r="F26" s="379" t="s">
        <v>209</v>
      </c>
      <c r="G26" s="318">
        <v>0</v>
      </c>
      <c r="H26" s="318">
        <v>0</v>
      </c>
    </row>
    <row r="27" s="135" customFormat="1" ht="27" customHeight="1" spans="1:8">
      <c r="A27" s="317" t="s">
        <v>409</v>
      </c>
      <c r="B27" s="379" t="s">
        <v>97</v>
      </c>
      <c r="C27" s="319">
        <f>现金流量表合并过程!C24</f>
        <v>1124656.05</v>
      </c>
      <c r="D27" s="319">
        <f>现金流量表合并过程!C58</f>
        <v>373936.37</v>
      </c>
      <c r="E27" s="382" t="s">
        <v>410</v>
      </c>
      <c r="F27" s="379" t="s">
        <v>213</v>
      </c>
      <c r="G27" s="316">
        <f>SUM(G23:G26)</f>
        <v>0</v>
      </c>
      <c r="H27" s="316">
        <f>SUM(H23:H26)</f>
        <v>0</v>
      </c>
    </row>
    <row r="28" s="135" customFormat="1" ht="27" customHeight="1" spans="1:8">
      <c r="A28" s="381" t="s">
        <v>411</v>
      </c>
      <c r="B28" s="379" t="s">
        <v>101</v>
      </c>
      <c r="C28" s="327">
        <f>现金流量表合并过程!C25</f>
        <v>2258708.53</v>
      </c>
      <c r="D28" s="327">
        <f>现金流量表合并过程!C59</f>
        <v>3838363.05</v>
      </c>
      <c r="E28" s="323" t="s">
        <v>412</v>
      </c>
      <c r="F28" s="379" t="s">
        <v>216</v>
      </c>
      <c r="G28" s="316">
        <f>G22-G27</f>
        <v>0</v>
      </c>
      <c r="H28" s="316">
        <f>H22-H27</f>
        <v>0</v>
      </c>
    </row>
    <row r="29" s="135" customFormat="1" ht="27" customHeight="1" spans="1:8">
      <c r="A29" s="382" t="s">
        <v>413</v>
      </c>
      <c r="B29" s="379" t="s">
        <v>105</v>
      </c>
      <c r="C29" s="324">
        <f>SUM(C20:C28)</f>
        <v>14578972.38</v>
      </c>
      <c r="D29" s="324">
        <f>SUM(D20:D28)</f>
        <v>9534321.76</v>
      </c>
      <c r="E29" s="378" t="s">
        <v>414</v>
      </c>
      <c r="F29" s="379" t="s">
        <v>219</v>
      </c>
      <c r="G29" s="316">
        <v>0</v>
      </c>
      <c r="H29" s="316">
        <v>0</v>
      </c>
    </row>
    <row r="30" s="135" customFormat="1" ht="27" customHeight="1" spans="1:8">
      <c r="A30" s="382" t="s">
        <v>415</v>
      </c>
      <c r="B30" s="379" t="s">
        <v>109</v>
      </c>
      <c r="C30" s="330">
        <f>C19-C29</f>
        <v>3694415.77</v>
      </c>
      <c r="D30" s="330">
        <f>D19-D29</f>
        <v>2141051.78</v>
      </c>
      <c r="E30" s="378" t="s">
        <v>416</v>
      </c>
      <c r="F30" s="379" t="s">
        <v>222</v>
      </c>
      <c r="G30" s="330">
        <f>C30+G15+G28+G29</f>
        <v>49207592.35</v>
      </c>
      <c r="H30" s="330">
        <f>D30+H15+H28+H29</f>
        <v>-44443086.23</v>
      </c>
    </row>
    <row r="31" s="135" customFormat="1" ht="27" customHeight="1" spans="1:8">
      <c r="A31" s="378" t="s">
        <v>417</v>
      </c>
      <c r="B31" s="379" t="s">
        <v>113</v>
      </c>
      <c r="C31" s="316"/>
      <c r="D31" s="316"/>
      <c r="E31" s="314" t="s">
        <v>418</v>
      </c>
      <c r="F31" s="379" t="s">
        <v>225</v>
      </c>
      <c r="G31" s="322">
        <f>现金流量表合并过程!I28</f>
        <v>6144611.23</v>
      </c>
      <c r="H31" s="322">
        <f>现金流量表合并过程!I62</f>
        <v>50587697.46</v>
      </c>
    </row>
    <row r="32" s="135" customFormat="1" ht="27" customHeight="1" spans="1:8">
      <c r="A32" s="381" t="s">
        <v>419</v>
      </c>
      <c r="B32" s="379" t="s">
        <v>117</v>
      </c>
      <c r="C32" s="322">
        <f>现金流量表合并过程!C29</f>
        <v>46000000</v>
      </c>
      <c r="D32" s="322">
        <f>现金流量表合并过程!C63</f>
        <v>40000000</v>
      </c>
      <c r="E32" s="314" t="s">
        <v>420</v>
      </c>
      <c r="F32" s="379" t="s">
        <v>227</v>
      </c>
      <c r="G32" s="318">
        <f>现金流量表合并过程!I29</f>
        <v>55352203.58</v>
      </c>
      <c r="H32" s="318">
        <f>H30+H31</f>
        <v>6144611.23</v>
      </c>
    </row>
    <row r="33" s="135" customFormat="1" ht="27" customHeight="1" spans="1:9">
      <c r="A33" s="381" t="s">
        <v>421</v>
      </c>
      <c r="B33" s="379" t="s">
        <v>121</v>
      </c>
      <c r="C33" s="322">
        <f>现金流量表合并过程!C30</f>
        <v>150000</v>
      </c>
      <c r="D33" s="322">
        <f>现金流量表合并过程!C64</f>
        <v>421698.63</v>
      </c>
      <c r="E33" s="331"/>
      <c r="F33" s="329"/>
      <c r="G33" s="324"/>
      <c r="H33" s="324"/>
      <c r="I33" s="192"/>
    </row>
    <row r="34" ht="25" customHeight="1" spans="1:6">
      <c r="A34" s="332" t="s">
        <v>422</v>
      </c>
      <c r="D34" s="333" t="s">
        <v>423</v>
      </c>
      <c r="E34" s="332"/>
      <c r="F34" s="135" t="s">
        <v>424</v>
      </c>
    </row>
    <row r="35" s="136" customFormat="1" spans="1:9">
      <c r="A35" s="301"/>
      <c r="B35" s="137"/>
      <c r="E35" s="301"/>
      <c r="F35" s="137"/>
      <c r="G35" s="194"/>
      <c r="I35" s="137"/>
    </row>
    <row r="36" s="136" customFormat="1" spans="1:9">
      <c r="A36" s="301"/>
      <c r="B36" s="137"/>
      <c r="E36" s="301"/>
      <c r="F36" s="137"/>
      <c r="G36" s="334"/>
      <c r="I36" s="137"/>
    </row>
    <row r="37" spans="4:4">
      <c r="D37" s="335"/>
    </row>
  </sheetData>
  <mergeCells count="4">
    <mergeCell ref="A1:H1"/>
    <mergeCell ref="G2:H2"/>
    <mergeCell ref="A3:D3"/>
    <mergeCell ref="G3:H3"/>
  </mergeCells>
  <pageMargins left="0.751388888888889" right="0.156944444444444" top="1" bottom="1" header="0.5" footer="0.5"/>
  <pageSetup paperSize="9" scale="71" orientation="portrait" horizontalDpi="600"/>
  <headerFooter>
    <oddFooter>&amp;C6</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G33"/>
  <sheetViews>
    <sheetView view="pageBreakPreview" zoomScale="80" zoomScaleNormal="80" topLeftCell="A19" workbookViewId="0">
      <selection activeCell="E13" sqref="E13"/>
    </sheetView>
  </sheetViews>
  <sheetFormatPr defaultColWidth="9" defaultRowHeight="13.5" outlineLevelCol="6"/>
  <cols>
    <col min="1" max="1" width="71" style="2" customWidth="1"/>
    <col min="2" max="2" width="11" style="2" customWidth="1"/>
    <col min="3" max="4" width="14.875" style="2" customWidth="1"/>
    <col min="5" max="5" width="9" style="2"/>
    <col min="6" max="6" width="17.325" style="2"/>
    <col min="7" max="16384" width="9" style="2"/>
  </cols>
  <sheetData>
    <row r="1" ht="32.1" customHeight="1" spans="1:4">
      <c r="A1" s="288" t="s">
        <v>359</v>
      </c>
      <c r="B1" s="288"/>
      <c r="C1" s="288"/>
      <c r="D1" s="288"/>
    </row>
    <row r="3" s="121" customFormat="1" ht="33.95" customHeight="1" spans="1:5">
      <c r="A3" s="289" t="s">
        <v>1</v>
      </c>
      <c r="B3" s="290" t="s">
        <v>287</v>
      </c>
      <c r="D3" s="291" t="s">
        <v>2</v>
      </c>
      <c r="E3" s="292"/>
    </row>
    <row r="4" ht="24.95" customHeight="1" spans="1:4">
      <c r="A4" s="143" t="s">
        <v>425</v>
      </c>
      <c r="B4" s="12" t="s">
        <v>4</v>
      </c>
      <c r="C4" s="384" t="s">
        <v>361</v>
      </c>
      <c r="D4" s="143" t="s">
        <v>362</v>
      </c>
    </row>
    <row r="5" ht="24.95" customHeight="1" spans="1:4">
      <c r="A5" s="293" t="s">
        <v>426</v>
      </c>
      <c r="B5" s="12"/>
      <c r="C5" s="8"/>
      <c r="D5" s="8"/>
    </row>
    <row r="6" ht="24.95" customHeight="1" spans="1:4">
      <c r="A6" s="293" t="s">
        <v>427</v>
      </c>
      <c r="B6" s="12">
        <v>57</v>
      </c>
      <c r="C6" s="8">
        <f>附表合并过程!C3</f>
        <v>1800487.441</v>
      </c>
      <c r="D6" s="8">
        <f>附表合并过程!C34</f>
        <v>272164.05</v>
      </c>
    </row>
    <row r="7" ht="24.95" customHeight="1" spans="1:4">
      <c r="A7" s="293" t="s">
        <v>428</v>
      </c>
      <c r="B7" s="12">
        <v>58</v>
      </c>
      <c r="C7" s="8"/>
      <c r="D7" s="8"/>
    </row>
    <row r="8" ht="24.95" customHeight="1" spans="1:4">
      <c r="A8" s="293" t="s">
        <v>429</v>
      </c>
      <c r="B8" s="12">
        <v>59</v>
      </c>
      <c r="C8" s="8">
        <f>附表合并过程!C5</f>
        <v>308215.49</v>
      </c>
      <c r="D8" s="8">
        <f>附表合并过程!C36</f>
        <v>492086.64</v>
      </c>
    </row>
    <row r="9" ht="24.95" customHeight="1" spans="1:4">
      <c r="A9" s="293" t="s">
        <v>430</v>
      </c>
      <c r="B9" s="12">
        <v>60</v>
      </c>
      <c r="C9" s="8">
        <f>附表合并过程!C6</f>
        <v>13118.92</v>
      </c>
      <c r="D9" s="207">
        <f>附表合并过程!C37</f>
        <v>0</v>
      </c>
    </row>
    <row r="10" ht="24.95" customHeight="1" spans="1:4">
      <c r="A10" s="7" t="s">
        <v>431</v>
      </c>
      <c r="B10" s="12">
        <v>61</v>
      </c>
      <c r="C10" s="207">
        <f>附表合并过程!C7</f>
        <v>0</v>
      </c>
      <c r="D10" s="207">
        <f>附表合并过程!C38</f>
        <v>0</v>
      </c>
    </row>
    <row r="11" ht="24.95" customHeight="1" spans="1:4">
      <c r="A11" s="7" t="s">
        <v>432</v>
      </c>
      <c r="B11" s="12">
        <v>64</v>
      </c>
      <c r="C11" s="207">
        <f>附表合并过程!C8</f>
        <v>0</v>
      </c>
      <c r="D11" s="207">
        <f>附表合并过程!C39</f>
        <v>0</v>
      </c>
    </row>
    <row r="12" ht="24.95" customHeight="1" spans="1:4">
      <c r="A12" s="7" t="s">
        <v>433</v>
      </c>
      <c r="B12" s="12">
        <v>65</v>
      </c>
      <c r="C12" s="207">
        <f>附表合并过程!C9</f>
        <v>0</v>
      </c>
      <c r="D12" s="207">
        <f>附表合并过程!C40</f>
        <v>0</v>
      </c>
    </row>
    <row r="13" ht="24.95" customHeight="1" spans="1:4">
      <c r="A13" s="7" t="s">
        <v>434</v>
      </c>
      <c r="B13" s="12">
        <v>66</v>
      </c>
      <c r="C13" s="207">
        <f>附表合并过程!C10</f>
        <v>0</v>
      </c>
      <c r="D13" s="207">
        <f>附表合并过程!C41</f>
        <v>0</v>
      </c>
    </row>
    <row r="14" ht="24.95" customHeight="1" spans="1:4">
      <c r="A14" s="7" t="s">
        <v>435</v>
      </c>
      <c r="B14" s="12">
        <v>67</v>
      </c>
      <c r="C14" s="207">
        <f>附表合并过程!C11</f>
        <v>0</v>
      </c>
      <c r="D14" s="207">
        <f>附表合并过程!C42</f>
        <v>0</v>
      </c>
    </row>
    <row r="15" ht="24.95" customHeight="1" spans="1:4">
      <c r="A15" s="7" t="s">
        <v>436</v>
      </c>
      <c r="B15" s="12">
        <v>68</v>
      </c>
      <c r="C15" s="8">
        <f>附表合并过程!C12</f>
        <v>-150000</v>
      </c>
      <c r="D15" s="207">
        <f>附表合并过程!C43</f>
        <v>0</v>
      </c>
    </row>
    <row r="16" ht="24.95" customHeight="1" spans="1:4">
      <c r="A16" s="7" t="s">
        <v>437</v>
      </c>
      <c r="B16" s="12">
        <v>69</v>
      </c>
      <c r="C16" s="207">
        <f>附表合并过程!C13</f>
        <v>0</v>
      </c>
      <c r="D16" s="207">
        <f>附表合并过程!C44</f>
        <v>0</v>
      </c>
    </row>
    <row r="17" ht="24.95" customHeight="1" spans="1:4">
      <c r="A17" s="7" t="s">
        <v>438</v>
      </c>
      <c r="B17" s="12">
        <v>70</v>
      </c>
      <c r="C17" s="8">
        <f>附表合并过程!C14</f>
        <v>0</v>
      </c>
      <c r="D17" s="207">
        <f>附表合并过程!C45</f>
        <v>0</v>
      </c>
    </row>
    <row r="18" ht="24.95" customHeight="1" spans="1:4">
      <c r="A18" s="7" t="s">
        <v>439</v>
      </c>
      <c r="B18" s="12">
        <v>71</v>
      </c>
      <c r="C18" s="8">
        <f>附表合并过程!C15</f>
        <v>-685812.84</v>
      </c>
      <c r="D18" s="207">
        <f>附表合并过程!C46</f>
        <v>0</v>
      </c>
    </row>
    <row r="19" ht="24.95" customHeight="1" spans="1:4">
      <c r="A19" s="7" t="s">
        <v>440</v>
      </c>
      <c r="B19" s="12">
        <v>72</v>
      </c>
      <c r="C19" s="8">
        <f>附表合并过程!C16</f>
        <v>-2864407.89</v>
      </c>
      <c r="D19" s="8">
        <f>附表合并过程!C47</f>
        <v>-657122.11</v>
      </c>
    </row>
    <row r="20" ht="24.95" customHeight="1" spans="1:4">
      <c r="A20" s="7" t="s">
        <v>441</v>
      </c>
      <c r="B20" s="12">
        <v>73</v>
      </c>
      <c r="C20" s="8">
        <f>附表合并过程!C17</f>
        <v>5272814.65</v>
      </c>
      <c r="D20" s="8">
        <f>附表合并过程!C48</f>
        <v>2033923.2</v>
      </c>
    </row>
    <row r="21" ht="24.95" customHeight="1" spans="1:4">
      <c r="A21" s="7" t="s">
        <v>442</v>
      </c>
      <c r="B21" s="12">
        <v>74</v>
      </c>
      <c r="C21" s="8"/>
      <c r="D21" s="8"/>
    </row>
    <row r="22" ht="24.95" customHeight="1" spans="1:7">
      <c r="A22" s="126" t="s">
        <v>443</v>
      </c>
      <c r="B22" s="127">
        <v>75</v>
      </c>
      <c r="C22" s="6">
        <f>SUM(C6:C21)</f>
        <v>3694415.771</v>
      </c>
      <c r="D22" s="6">
        <f>SUM(D6:D21)</f>
        <v>2141051.78</v>
      </c>
      <c r="F22" s="294">
        <f>C22-现流表2020!C30</f>
        <v>0.00100000016391277</v>
      </c>
      <c r="G22" s="294">
        <f>D22-现流表2020!D30</f>
        <v>0</v>
      </c>
    </row>
    <row r="23" ht="24.95" customHeight="1" spans="1:4">
      <c r="A23" s="7" t="s">
        <v>444</v>
      </c>
      <c r="B23" s="12"/>
      <c r="C23" s="8"/>
      <c r="D23" s="8"/>
    </row>
    <row r="24" ht="24.95" customHeight="1" spans="1:4">
      <c r="A24" s="7" t="s">
        <v>445</v>
      </c>
      <c r="B24" s="12">
        <v>76</v>
      </c>
      <c r="C24" s="8"/>
      <c r="D24" s="8"/>
    </row>
    <row r="25" ht="24.95" customHeight="1" spans="1:4">
      <c r="A25" s="7" t="s">
        <v>446</v>
      </c>
      <c r="B25" s="12">
        <v>77</v>
      </c>
      <c r="C25" s="8"/>
      <c r="D25" s="8"/>
    </row>
    <row r="26" ht="24.95" customHeight="1" spans="1:4">
      <c r="A26" s="7" t="s">
        <v>447</v>
      </c>
      <c r="B26" s="12">
        <v>78</v>
      </c>
      <c r="C26" s="8"/>
      <c r="D26" s="8"/>
    </row>
    <row r="27" ht="24.95" customHeight="1" spans="1:4">
      <c r="A27" s="7" t="s">
        <v>448</v>
      </c>
      <c r="B27" s="12"/>
      <c r="C27" s="8"/>
      <c r="D27" s="8"/>
    </row>
    <row r="28" ht="24.95" customHeight="1" spans="1:4">
      <c r="A28" s="7" t="s">
        <v>449</v>
      </c>
      <c r="B28" s="12">
        <v>79</v>
      </c>
      <c r="C28" s="8">
        <f>附表合并过程!C25</f>
        <v>55352203.58</v>
      </c>
      <c r="D28" s="8">
        <f>附表合并过程!C56</f>
        <v>6144611.23</v>
      </c>
    </row>
    <row r="29" ht="24.95" customHeight="1" spans="1:4">
      <c r="A29" s="7" t="s">
        <v>450</v>
      </c>
      <c r="B29" s="12">
        <v>80</v>
      </c>
      <c r="C29" s="8">
        <f>附表合并过程!C26</f>
        <v>6144611.23</v>
      </c>
      <c r="D29" s="8">
        <f>附表合并过程!C57</f>
        <v>50587697.46</v>
      </c>
    </row>
    <row r="30" ht="24.95" customHeight="1" spans="1:4">
      <c r="A30" s="7" t="s">
        <v>451</v>
      </c>
      <c r="B30" s="12">
        <v>81</v>
      </c>
      <c r="C30" s="8"/>
      <c r="D30" s="8"/>
    </row>
    <row r="31" ht="24.95" customHeight="1" spans="1:4">
      <c r="A31" s="7" t="s">
        <v>452</v>
      </c>
      <c r="B31" s="12">
        <v>82</v>
      </c>
      <c r="C31" s="8"/>
      <c r="D31" s="8"/>
    </row>
    <row r="32" ht="24.95" customHeight="1" spans="1:7">
      <c r="A32" s="295" t="s">
        <v>453</v>
      </c>
      <c r="B32" s="296">
        <v>83</v>
      </c>
      <c r="C32" s="297">
        <f>C28-C29+C30-C31</f>
        <v>49207592.35</v>
      </c>
      <c r="D32" s="297">
        <f>D28-D29+D30-D31</f>
        <v>-44443086.23</v>
      </c>
      <c r="F32" s="3">
        <f>C32-现流表2020!G30</f>
        <v>0</v>
      </c>
      <c r="G32" s="294">
        <f>D32-现流表2020!H30</f>
        <v>0</v>
      </c>
    </row>
    <row r="33" ht="27" customHeight="1" spans="1:4">
      <c r="A33" s="298" t="s">
        <v>454</v>
      </c>
      <c r="B33" s="299"/>
      <c r="C33" s="299" t="s">
        <v>358</v>
      </c>
      <c r="D33" s="299"/>
    </row>
  </sheetData>
  <mergeCells count="2">
    <mergeCell ref="A1:D1"/>
    <mergeCell ref="D3:E3"/>
  </mergeCells>
  <pageMargins left="0.751388888888889" right="0.751388888888889" top="1" bottom="1" header="0.5" footer="0.5"/>
  <pageSetup paperSize="9" scale="78" orientation="portrait" horizontalDpi="600"/>
  <headerFooter>
    <oddFooter>&amp;C7</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FF00"/>
  </sheetPr>
  <dimension ref="A1:M37"/>
  <sheetViews>
    <sheetView view="pageBreakPreview" zoomScale="60" zoomScaleNormal="80" workbookViewId="0">
      <selection activeCell="I38" sqref="I38"/>
    </sheetView>
  </sheetViews>
  <sheetFormatPr defaultColWidth="9" defaultRowHeight="12.75"/>
  <cols>
    <col min="1" max="1" width="43.3416666666667" style="67" customWidth="1"/>
    <col min="2" max="3" width="13" style="68" customWidth="1"/>
    <col min="4" max="4" width="11.625" style="68" customWidth="1"/>
    <col min="5" max="5" width="11.375" style="68" customWidth="1"/>
    <col min="6" max="6" width="13" style="68" customWidth="1"/>
    <col min="7" max="7" width="13.75" style="68" customWidth="1"/>
    <col min="8" max="8" width="12.375" style="68" customWidth="1"/>
    <col min="9" max="9" width="11.75" style="68" customWidth="1"/>
    <col min="10" max="10" width="11.625" style="68" customWidth="1"/>
    <col min="11" max="11" width="11.25" style="68" customWidth="1"/>
    <col min="12" max="12" width="13" style="68" customWidth="1"/>
    <col min="13" max="13" width="13.75" style="68" customWidth="1"/>
    <col min="14" max="16384" width="9" style="69"/>
  </cols>
  <sheetData>
    <row r="1" ht="30" customHeight="1" spans="1:13">
      <c r="A1" s="70" t="s">
        <v>455</v>
      </c>
      <c r="B1" s="71"/>
      <c r="C1" s="71"/>
      <c r="D1" s="71"/>
      <c r="E1" s="71"/>
      <c r="F1" s="71"/>
      <c r="G1" s="71"/>
      <c r="H1" s="71"/>
      <c r="I1" s="71"/>
      <c r="J1" s="71"/>
      <c r="K1" s="71"/>
      <c r="L1" s="71"/>
      <c r="M1" s="71"/>
    </row>
    <row r="2" s="276" customFormat="1" ht="18" customHeight="1" spans="1:13">
      <c r="A2" s="278" t="s">
        <v>287</v>
      </c>
      <c r="B2" s="278"/>
      <c r="C2" s="278"/>
      <c r="D2" s="278"/>
      <c r="E2" s="278"/>
      <c r="F2" s="278"/>
      <c r="G2" s="278"/>
      <c r="H2" s="278"/>
      <c r="I2" s="278"/>
      <c r="J2" s="278"/>
      <c r="K2" s="278"/>
      <c r="L2" s="278"/>
      <c r="M2" s="278"/>
    </row>
    <row r="3" s="277" customFormat="1" ht="18" customHeight="1" spans="1:13">
      <c r="A3" s="279" t="s">
        <v>1</v>
      </c>
      <c r="B3" s="279"/>
      <c r="C3" s="279"/>
      <c r="D3" s="280"/>
      <c r="E3" s="280"/>
      <c r="F3" s="280"/>
      <c r="G3" s="281"/>
      <c r="H3" s="281"/>
      <c r="I3" s="285"/>
      <c r="J3" s="286"/>
      <c r="K3" s="286"/>
      <c r="L3" s="287" t="s">
        <v>2</v>
      </c>
      <c r="M3" s="287"/>
    </row>
    <row r="4" s="66" customFormat="1" ht="15.95" customHeight="1" spans="1:13">
      <c r="A4" s="113" t="s">
        <v>456</v>
      </c>
      <c r="B4" s="80" t="s">
        <v>288</v>
      </c>
      <c r="C4" s="114"/>
      <c r="D4" s="114"/>
      <c r="E4" s="114"/>
      <c r="F4" s="114"/>
      <c r="G4" s="114"/>
      <c r="H4" s="80" t="s">
        <v>289</v>
      </c>
      <c r="I4" s="114"/>
      <c r="J4" s="114"/>
      <c r="K4" s="114"/>
      <c r="L4" s="114"/>
      <c r="M4" s="114"/>
    </row>
    <row r="5" s="66" customFormat="1" ht="15.95" customHeight="1" spans="1:13">
      <c r="A5" s="115"/>
      <c r="B5" s="80" t="s">
        <v>457</v>
      </c>
      <c r="C5" s="80" t="s">
        <v>458</v>
      </c>
      <c r="D5" s="80" t="s">
        <v>459</v>
      </c>
      <c r="E5" s="80" t="s">
        <v>460</v>
      </c>
      <c r="F5" s="80" t="s">
        <v>461</v>
      </c>
      <c r="G5" s="81" t="s">
        <v>462</v>
      </c>
      <c r="H5" s="80" t="s">
        <v>457</v>
      </c>
      <c r="I5" s="80" t="s">
        <v>458</v>
      </c>
      <c r="J5" s="80" t="s">
        <v>459</v>
      </c>
      <c r="K5" s="80" t="s">
        <v>460</v>
      </c>
      <c r="L5" s="80" t="s">
        <v>461</v>
      </c>
      <c r="M5" s="81" t="s">
        <v>462</v>
      </c>
    </row>
    <row r="6" s="65" customFormat="1" ht="19" customHeight="1" spans="1:13">
      <c r="A6" s="116" t="s">
        <v>463</v>
      </c>
      <c r="B6" s="87">
        <f>H32</f>
        <v>50000000</v>
      </c>
      <c r="C6" s="87">
        <f>I32</f>
        <v>1307600</v>
      </c>
      <c r="D6" s="87"/>
      <c r="E6" s="87"/>
      <c r="F6" s="88">
        <f>L32</f>
        <v>1026492.336</v>
      </c>
      <c r="G6" s="90">
        <f>SUM(B6:F6)</f>
        <v>52334092.336</v>
      </c>
      <c r="H6" s="87">
        <v>50819000</v>
      </c>
      <c r="I6" s="87"/>
      <c r="J6" s="87"/>
      <c r="K6" s="87"/>
      <c r="L6" s="88">
        <v>-264614.51</v>
      </c>
      <c r="M6" s="87">
        <v>50554385.49</v>
      </c>
    </row>
    <row r="7" s="65" customFormat="1" ht="19" customHeight="1" spans="1:13">
      <c r="A7" s="117" t="s">
        <v>464</v>
      </c>
      <c r="B7" s="87"/>
      <c r="C7" s="88"/>
      <c r="D7" s="87"/>
      <c r="E7" s="87"/>
      <c r="F7" s="88"/>
      <c r="G7" s="90"/>
      <c r="H7" s="87"/>
      <c r="I7" s="88"/>
      <c r="J7" s="87"/>
      <c r="K7" s="87"/>
      <c r="L7" s="88"/>
      <c r="M7" s="87"/>
    </row>
    <row r="8" s="65" customFormat="1" ht="19" customHeight="1" spans="1:13">
      <c r="A8" s="117" t="s">
        <v>465</v>
      </c>
      <c r="B8" s="87"/>
      <c r="C8" s="88"/>
      <c r="D8" s="87"/>
      <c r="E8" s="87"/>
      <c r="F8" s="88">
        <f>'物业-权益变动表'!F8+'发控-权益变动表'!F8</f>
        <v>222064.74</v>
      </c>
      <c r="G8" s="90">
        <f>F8</f>
        <v>222064.74</v>
      </c>
      <c r="H8" s="282"/>
      <c r="I8" s="88"/>
      <c r="J8" s="87"/>
      <c r="K8" s="87"/>
      <c r="L8" s="87">
        <v>1018942.796</v>
      </c>
      <c r="M8" s="87">
        <v>1018942.796</v>
      </c>
    </row>
    <row r="9" s="65" customFormat="1" ht="19" customHeight="1" spans="1:13">
      <c r="A9" s="116" t="s">
        <v>466</v>
      </c>
      <c r="B9" s="87">
        <f>B6+B7+B8</f>
        <v>50000000</v>
      </c>
      <c r="C9" s="87">
        <f>C6+C7+C8</f>
        <v>1307600</v>
      </c>
      <c r="D9" s="87"/>
      <c r="E9" s="87"/>
      <c r="F9" s="87">
        <f>F6+F7+F8</f>
        <v>1248557.076</v>
      </c>
      <c r="G9" s="87">
        <f>G6+G7+G8</f>
        <v>52556157.076</v>
      </c>
      <c r="H9" s="87">
        <v>50819000</v>
      </c>
      <c r="I9" s="87"/>
      <c r="J9" s="87"/>
      <c r="K9" s="87"/>
      <c r="L9" s="87">
        <v>754328.286</v>
      </c>
      <c r="M9" s="87">
        <v>51573328.286</v>
      </c>
    </row>
    <row r="10" s="65" customFormat="1" ht="19" customHeight="1" spans="1:13">
      <c r="A10" s="116" t="s">
        <v>467</v>
      </c>
      <c r="B10" s="87">
        <f>B14</f>
        <v>0</v>
      </c>
      <c r="C10" s="88"/>
      <c r="D10" s="87"/>
      <c r="E10" s="87"/>
      <c r="F10" s="88">
        <f>F13+F18+F31</f>
        <v>1800487.441</v>
      </c>
      <c r="G10" s="90">
        <f>SUM(B10:F10)</f>
        <v>1800487.441</v>
      </c>
      <c r="H10" s="283">
        <v>-819000</v>
      </c>
      <c r="I10" s="87">
        <v>1307600</v>
      </c>
      <c r="J10" s="87"/>
      <c r="K10" s="87"/>
      <c r="L10" s="87">
        <v>272164.05</v>
      </c>
      <c r="M10" s="87">
        <v>760764.05</v>
      </c>
    </row>
    <row r="11" s="65" customFormat="1" ht="19" customHeight="1" spans="1:13">
      <c r="A11" s="118" t="s">
        <v>468</v>
      </c>
      <c r="B11" s="87"/>
      <c r="C11" s="88"/>
      <c r="D11" s="87"/>
      <c r="E11" s="87"/>
      <c r="F11" s="89">
        <f>'物业-权益变动表'!F11+'发控-权益变动表'!F11+'农业-权益变动表 '!F11</f>
        <v>1800487.441</v>
      </c>
      <c r="G11" s="90">
        <f>SUM(B11:F11)</f>
        <v>1800487.441</v>
      </c>
      <c r="H11" s="87"/>
      <c r="I11" s="88">
        <v>1307600</v>
      </c>
      <c r="J11" s="87"/>
      <c r="K11" s="87"/>
      <c r="L11" s="89">
        <v>272164.05</v>
      </c>
      <c r="M11" s="87">
        <v>1579764.05</v>
      </c>
    </row>
    <row r="12" s="65" customFormat="1" ht="19" customHeight="1" spans="1:13">
      <c r="A12" s="118" t="s">
        <v>469</v>
      </c>
      <c r="B12" s="87"/>
      <c r="C12" s="88"/>
      <c r="D12" s="87"/>
      <c r="E12" s="87"/>
      <c r="F12" s="88"/>
      <c r="G12" s="90"/>
      <c r="H12" s="87"/>
      <c r="I12" s="88"/>
      <c r="J12" s="87"/>
      <c r="K12" s="87"/>
      <c r="L12" s="87"/>
      <c r="M12" s="87"/>
    </row>
    <row r="13" s="65" customFormat="1" ht="19" customHeight="1" spans="1:13">
      <c r="A13" s="116" t="s">
        <v>470</v>
      </c>
      <c r="B13" s="87"/>
      <c r="C13" s="88"/>
      <c r="D13" s="91"/>
      <c r="E13" s="87"/>
      <c r="F13" s="87">
        <f>F11+F12</f>
        <v>1800487.441</v>
      </c>
      <c r="G13" s="90">
        <f>SUM(B13:F13)</f>
        <v>1800487.441</v>
      </c>
      <c r="H13" s="87"/>
      <c r="I13" s="88">
        <v>1307600</v>
      </c>
      <c r="J13" s="87"/>
      <c r="K13" s="87"/>
      <c r="L13" s="87">
        <v>272164.05</v>
      </c>
      <c r="M13" s="87">
        <v>1579764.05</v>
      </c>
    </row>
    <row r="14" s="65" customFormat="1" ht="19" customHeight="1" spans="1:13">
      <c r="A14" s="116" t="s">
        <v>471</v>
      </c>
      <c r="B14" s="87">
        <f>B15+B16+B17</f>
        <v>0</v>
      </c>
      <c r="C14" s="87"/>
      <c r="D14" s="87"/>
      <c r="E14" s="87"/>
      <c r="F14" s="87"/>
      <c r="G14" s="90">
        <f>B14</f>
        <v>0</v>
      </c>
      <c r="H14" s="283">
        <v>-819000</v>
      </c>
      <c r="I14" s="87"/>
      <c r="J14" s="87"/>
      <c r="K14" s="87"/>
      <c r="L14" s="87"/>
      <c r="M14" s="87">
        <v>-819000</v>
      </c>
    </row>
    <row r="15" s="65" customFormat="1" ht="19" customHeight="1" spans="1:13">
      <c r="A15" s="119" t="s">
        <v>472</v>
      </c>
      <c r="B15" s="87"/>
      <c r="C15" s="88"/>
      <c r="D15" s="87"/>
      <c r="E15" s="87"/>
      <c r="F15" s="93"/>
      <c r="G15" s="90">
        <f>B15</f>
        <v>0</v>
      </c>
      <c r="H15" s="283">
        <v>-819000</v>
      </c>
      <c r="I15" s="88"/>
      <c r="J15" s="87"/>
      <c r="K15" s="87"/>
      <c r="L15" s="87"/>
      <c r="M15" s="87">
        <v>-819000</v>
      </c>
    </row>
    <row r="16" s="65" customFormat="1" ht="19" customHeight="1" spans="1:13">
      <c r="A16" s="119" t="s">
        <v>473</v>
      </c>
      <c r="B16" s="87"/>
      <c r="C16" s="88"/>
      <c r="D16" s="91"/>
      <c r="E16" s="87"/>
      <c r="F16" s="93"/>
      <c r="G16" s="90"/>
      <c r="H16" s="87"/>
      <c r="I16" s="88"/>
      <c r="J16" s="87"/>
      <c r="K16" s="87"/>
      <c r="L16" s="87"/>
      <c r="M16" s="87"/>
    </row>
    <row r="17" s="65" customFormat="1" ht="19" customHeight="1" spans="1:13">
      <c r="A17" s="119" t="s">
        <v>474</v>
      </c>
      <c r="B17" s="87"/>
      <c r="C17" s="88"/>
      <c r="D17" s="87"/>
      <c r="E17" s="87"/>
      <c r="F17" s="88"/>
      <c r="G17" s="90"/>
      <c r="H17" s="87"/>
      <c r="I17" s="88"/>
      <c r="J17" s="87"/>
      <c r="K17" s="87"/>
      <c r="L17" s="87"/>
      <c r="M17" s="87"/>
    </row>
    <row r="18" s="65" customFormat="1" ht="19" customHeight="1" spans="1:13">
      <c r="A18" s="116" t="s">
        <v>475</v>
      </c>
      <c r="B18" s="87"/>
      <c r="C18" s="88"/>
      <c r="D18" s="87"/>
      <c r="E18" s="87"/>
      <c r="F18" s="87"/>
      <c r="G18" s="90"/>
      <c r="H18" s="87"/>
      <c r="I18" s="88"/>
      <c r="J18" s="87"/>
      <c r="K18" s="87"/>
      <c r="L18" s="87"/>
      <c r="M18" s="87"/>
    </row>
    <row r="19" s="65" customFormat="1" ht="19" customHeight="1" spans="1:13">
      <c r="A19" s="119" t="s">
        <v>476</v>
      </c>
      <c r="B19" s="87"/>
      <c r="C19" s="88"/>
      <c r="D19" s="87"/>
      <c r="E19" s="87"/>
      <c r="F19" s="87"/>
      <c r="G19" s="90"/>
      <c r="H19" s="87"/>
      <c r="I19" s="88"/>
      <c r="J19" s="87"/>
      <c r="K19" s="87"/>
      <c r="L19" s="87"/>
      <c r="M19" s="87"/>
    </row>
    <row r="20" s="65" customFormat="1" ht="19" customHeight="1" spans="1:13">
      <c r="A20" s="119" t="s">
        <v>477</v>
      </c>
      <c r="B20" s="87"/>
      <c r="C20" s="88"/>
      <c r="D20" s="87"/>
      <c r="E20" s="87"/>
      <c r="F20" s="88"/>
      <c r="G20" s="90"/>
      <c r="H20" s="87"/>
      <c r="I20" s="88"/>
      <c r="J20" s="87"/>
      <c r="K20" s="87"/>
      <c r="L20" s="87"/>
      <c r="M20" s="87"/>
    </row>
    <row r="21" s="65" customFormat="1" ht="19" customHeight="1" spans="1:13">
      <c r="A21" s="118" t="s">
        <v>478</v>
      </c>
      <c r="B21" s="87"/>
      <c r="C21" s="88"/>
      <c r="D21" s="87"/>
      <c r="E21" s="87"/>
      <c r="F21" s="88"/>
      <c r="G21" s="90"/>
      <c r="H21" s="87"/>
      <c r="I21" s="88"/>
      <c r="J21" s="87"/>
      <c r="K21" s="87"/>
      <c r="L21" s="87"/>
      <c r="M21" s="87"/>
    </row>
    <row r="22" s="65" customFormat="1" ht="19" customHeight="1" spans="1:13">
      <c r="A22" s="119" t="s">
        <v>474</v>
      </c>
      <c r="B22" s="87"/>
      <c r="C22" s="93"/>
      <c r="D22" s="87"/>
      <c r="E22" s="87"/>
      <c r="F22" s="88"/>
      <c r="G22" s="90"/>
      <c r="H22" s="87"/>
      <c r="I22" s="109"/>
      <c r="J22" s="87"/>
      <c r="K22" s="87"/>
      <c r="L22" s="87"/>
      <c r="M22" s="87"/>
    </row>
    <row r="23" s="65" customFormat="1" ht="19" customHeight="1" spans="1:13">
      <c r="A23" s="116" t="s">
        <v>479</v>
      </c>
      <c r="B23" s="87"/>
      <c r="C23" s="93"/>
      <c r="D23" s="90"/>
      <c r="E23" s="87"/>
      <c r="F23" s="88"/>
      <c r="G23" s="90"/>
      <c r="H23" s="87"/>
      <c r="I23" s="87"/>
      <c r="J23" s="87"/>
      <c r="K23" s="87"/>
      <c r="L23" s="87"/>
      <c r="M23" s="87"/>
    </row>
    <row r="24" s="65" customFormat="1" ht="19" customHeight="1" spans="1:13">
      <c r="A24" s="119" t="s">
        <v>480</v>
      </c>
      <c r="B24" s="87"/>
      <c r="C24" s="87"/>
      <c r="D24" s="87"/>
      <c r="E24" s="87"/>
      <c r="F24" s="88"/>
      <c r="G24" s="90"/>
      <c r="H24" s="87"/>
      <c r="I24" s="88"/>
      <c r="J24" s="87"/>
      <c r="K24" s="87"/>
      <c r="L24" s="87"/>
      <c r="M24" s="87"/>
    </row>
    <row r="25" s="65" customFormat="1" ht="19" customHeight="1" spans="1:13">
      <c r="A25" s="119" t="s">
        <v>481</v>
      </c>
      <c r="B25" s="87"/>
      <c r="C25" s="87"/>
      <c r="D25" s="87"/>
      <c r="E25" s="87"/>
      <c r="F25" s="87"/>
      <c r="G25" s="90"/>
      <c r="H25" s="87"/>
      <c r="I25" s="88"/>
      <c r="J25" s="87"/>
      <c r="K25" s="87"/>
      <c r="L25" s="87"/>
      <c r="M25" s="87"/>
    </row>
    <row r="26" s="65" customFormat="1" ht="19" customHeight="1" spans="1:13">
      <c r="A26" s="119" t="s">
        <v>482</v>
      </c>
      <c r="B26" s="87"/>
      <c r="C26" s="87"/>
      <c r="D26" s="87"/>
      <c r="E26" s="87"/>
      <c r="F26" s="87"/>
      <c r="G26" s="90"/>
      <c r="H26" s="87"/>
      <c r="I26" s="88"/>
      <c r="J26" s="87"/>
      <c r="K26" s="87"/>
      <c r="L26" s="87"/>
      <c r="M26" s="87"/>
    </row>
    <row r="27" s="65" customFormat="1" ht="19" customHeight="1" spans="1:13">
      <c r="A27" s="119" t="s">
        <v>483</v>
      </c>
      <c r="B27" s="87"/>
      <c r="C27" s="87"/>
      <c r="D27" s="87"/>
      <c r="E27" s="87"/>
      <c r="F27" s="87"/>
      <c r="G27" s="90"/>
      <c r="H27" s="87"/>
      <c r="I27" s="88"/>
      <c r="J27" s="87"/>
      <c r="K27" s="87"/>
      <c r="L27" s="87"/>
      <c r="M27" s="87"/>
    </row>
    <row r="28" s="65" customFormat="1" ht="19" customHeight="1" spans="1:13">
      <c r="A28" s="116" t="s">
        <v>484</v>
      </c>
      <c r="B28" s="87"/>
      <c r="C28" s="87"/>
      <c r="D28" s="87"/>
      <c r="E28" s="87"/>
      <c r="F28" s="87"/>
      <c r="G28" s="90"/>
      <c r="H28" s="87"/>
      <c r="I28" s="88"/>
      <c r="J28" s="87"/>
      <c r="K28" s="87"/>
      <c r="L28" s="87"/>
      <c r="M28" s="87"/>
    </row>
    <row r="29" s="65" customFormat="1" ht="19" customHeight="1" spans="1:13">
      <c r="A29" s="119" t="s">
        <v>485</v>
      </c>
      <c r="B29" s="87"/>
      <c r="C29" s="87"/>
      <c r="D29" s="87"/>
      <c r="E29" s="87"/>
      <c r="F29" s="87"/>
      <c r="G29" s="90"/>
      <c r="H29" s="87"/>
      <c r="I29" s="88"/>
      <c r="J29" s="87"/>
      <c r="K29" s="87"/>
      <c r="L29" s="87"/>
      <c r="M29" s="87"/>
    </row>
    <row r="30" s="65" customFormat="1" ht="19" customHeight="1" spans="1:13">
      <c r="A30" s="119" t="s">
        <v>486</v>
      </c>
      <c r="B30" s="87"/>
      <c r="C30" s="87"/>
      <c r="D30" s="87"/>
      <c r="E30" s="87"/>
      <c r="F30" s="87"/>
      <c r="G30" s="90"/>
      <c r="H30" s="87"/>
      <c r="I30" s="88"/>
      <c r="J30" s="87"/>
      <c r="K30" s="87"/>
      <c r="L30" s="87"/>
      <c r="M30" s="87"/>
    </row>
    <row r="31" s="65" customFormat="1" ht="19" customHeight="1" spans="1:13">
      <c r="A31" s="116" t="s">
        <v>487</v>
      </c>
      <c r="B31" s="87"/>
      <c r="C31" s="87"/>
      <c r="D31" s="87"/>
      <c r="E31" s="87"/>
      <c r="F31" s="87"/>
      <c r="G31" s="90"/>
      <c r="H31" s="87"/>
      <c r="I31" s="88"/>
      <c r="J31" s="87"/>
      <c r="K31" s="87"/>
      <c r="L31" s="87"/>
      <c r="M31" s="87"/>
    </row>
    <row r="32" s="65" customFormat="1" ht="19" customHeight="1" spans="1:13">
      <c r="A32" s="116" t="s">
        <v>488</v>
      </c>
      <c r="B32" s="87">
        <f>B9+B10</f>
        <v>50000000</v>
      </c>
      <c r="C32" s="87">
        <f>C9+C10</f>
        <v>1307600</v>
      </c>
      <c r="D32" s="87"/>
      <c r="E32" s="87"/>
      <c r="F32" s="284">
        <f>F9+F10</f>
        <v>3049044.517</v>
      </c>
      <c r="G32" s="90">
        <f>SUM(B32:F32)</f>
        <v>54356644.517</v>
      </c>
      <c r="H32" s="87">
        <v>50000000</v>
      </c>
      <c r="I32" s="87">
        <v>1307600</v>
      </c>
      <c r="J32" s="87"/>
      <c r="K32" s="87"/>
      <c r="L32" s="87">
        <v>1026492.336</v>
      </c>
      <c r="M32" s="87">
        <v>52334092.336</v>
      </c>
    </row>
    <row r="33" ht="33.75" customHeight="1" spans="1:10">
      <c r="A33" s="100" t="s">
        <v>489</v>
      </c>
      <c r="E33" s="101" t="s">
        <v>423</v>
      </c>
      <c r="J33" s="111" t="s">
        <v>490</v>
      </c>
    </row>
    <row r="37" spans="2:4">
      <c r="B37" s="102"/>
      <c r="C37" s="102"/>
      <c r="D37" s="102"/>
    </row>
  </sheetData>
  <mergeCells count="8">
    <mergeCell ref="A1:M1"/>
    <mergeCell ref="A2:M2"/>
    <mergeCell ref="A3:C3"/>
    <mergeCell ref="D3:F3"/>
    <mergeCell ref="L3:M3"/>
    <mergeCell ref="B4:G4"/>
    <mergeCell ref="H4:M4"/>
    <mergeCell ref="A4:A5"/>
  </mergeCells>
  <pageMargins left="0.751388888888889" right="0.751388888888889" top="1" bottom="1" header="0.5" footer="0.5"/>
  <pageSetup paperSize="9" scale="68" orientation="landscape" horizontalDpi="600"/>
  <headerFooter>
    <oddFooter>&amp;C8</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173"/>
  <sheetViews>
    <sheetView zoomScale="60" zoomScaleNormal="60" workbookViewId="0">
      <pane ySplit="2" topLeftCell="A3" activePane="bottomLeft" state="frozen"/>
      <selection/>
      <selection pane="bottomLeft" activeCell="F33" sqref="F33"/>
    </sheetView>
  </sheetViews>
  <sheetFormatPr defaultColWidth="8" defaultRowHeight="12.75"/>
  <cols>
    <col min="1" max="1" width="50.5083333333333" style="238" customWidth="1"/>
    <col min="2" max="2" width="5.625" style="238" customWidth="1"/>
    <col min="3" max="8" width="18.875" style="238" customWidth="1"/>
    <col min="9" max="9" width="51.125" style="238" customWidth="1"/>
    <col min="10" max="10" width="5.625" style="238" customWidth="1"/>
    <col min="11" max="11" width="20.625" style="238" customWidth="1"/>
    <col min="12" max="16" width="17.625" style="238" customWidth="1"/>
    <col min="17" max="17" width="13.875" style="239" customWidth="1"/>
    <col min="18" max="16384" width="8" style="238"/>
  </cols>
  <sheetData>
    <row r="2" ht="18" customHeight="1" spans="1:16">
      <c r="A2" s="240" t="s">
        <v>3</v>
      </c>
      <c r="B2" s="240" t="s">
        <v>4</v>
      </c>
      <c r="C2" s="240" t="s">
        <v>491</v>
      </c>
      <c r="D2" s="240" t="s">
        <v>492</v>
      </c>
      <c r="E2" s="240" t="s">
        <v>493</v>
      </c>
      <c r="F2" s="240" t="s">
        <v>494</v>
      </c>
      <c r="G2" s="240" t="s">
        <v>495</v>
      </c>
      <c r="H2" s="240" t="s">
        <v>496</v>
      </c>
      <c r="I2" s="240" t="s">
        <v>3</v>
      </c>
      <c r="J2" s="240" t="s">
        <v>4</v>
      </c>
      <c r="K2" s="240" t="s">
        <v>491</v>
      </c>
      <c r="L2" s="257" t="s">
        <v>492</v>
      </c>
      <c r="M2" s="257" t="s">
        <v>493</v>
      </c>
      <c r="N2" s="257" t="s">
        <v>494</v>
      </c>
      <c r="O2" s="257" t="s">
        <v>495</v>
      </c>
      <c r="P2" s="257" t="s">
        <v>496</v>
      </c>
    </row>
    <row r="3" ht="14.65" customHeight="1" spans="1:16">
      <c r="A3" s="241" t="s">
        <v>7</v>
      </c>
      <c r="B3" s="240" t="s">
        <v>8</v>
      </c>
      <c r="C3" s="242" t="s">
        <v>9</v>
      </c>
      <c r="D3" s="243"/>
      <c r="E3" s="243"/>
      <c r="F3" s="243"/>
      <c r="G3" s="243"/>
      <c r="H3" s="243"/>
      <c r="I3" s="241" t="s">
        <v>10</v>
      </c>
      <c r="J3" s="240" t="s">
        <v>11</v>
      </c>
      <c r="K3" s="242" t="s">
        <v>9</v>
      </c>
      <c r="L3" s="258"/>
      <c r="M3" s="258"/>
      <c r="N3" s="258"/>
      <c r="O3" s="258"/>
      <c r="P3" s="259" t="s">
        <v>9</v>
      </c>
    </row>
    <row r="4" ht="14.65" customHeight="1" spans="1:16">
      <c r="A4" s="208" t="s">
        <v>12</v>
      </c>
      <c r="B4" s="240" t="s">
        <v>13</v>
      </c>
      <c r="C4" s="244">
        <f>D4+E4-G4+H4+F4</f>
        <v>55352203.58</v>
      </c>
      <c r="D4" s="245">
        <v>54318134.52</v>
      </c>
      <c r="E4" s="245">
        <v>348253.19</v>
      </c>
      <c r="F4" s="245">
        <v>685815.87</v>
      </c>
      <c r="G4" s="245"/>
      <c r="H4" s="245"/>
      <c r="I4" s="208" t="s">
        <v>14</v>
      </c>
      <c r="J4" s="240" t="s">
        <v>15</v>
      </c>
      <c r="K4" s="244">
        <f t="shared" ref="K4:K18" si="0">L4+M4+O4-P4+N4</f>
        <v>0</v>
      </c>
      <c r="L4" s="260"/>
      <c r="M4" s="260"/>
      <c r="N4" s="260"/>
      <c r="O4" s="260"/>
      <c r="P4" s="261"/>
    </row>
    <row r="5" ht="14.65" customHeight="1" spans="1:16">
      <c r="A5" s="208" t="s">
        <v>16</v>
      </c>
      <c r="B5" s="240" t="s">
        <v>17</v>
      </c>
      <c r="C5" s="244">
        <f t="shared" ref="C5:C36" si="1">D5+E5-G5+H5+F5</f>
        <v>0</v>
      </c>
      <c r="D5" s="245"/>
      <c r="E5" s="245"/>
      <c r="F5" s="245"/>
      <c r="G5" s="245"/>
      <c r="H5" s="245"/>
      <c r="I5" s="208" t="s">
        <v>18</v>
      </c>
      <c r="J5" s="240" t="s">
        <v>19</v>
      </c>
      <c r="K5" s="244">
        <f t="shared" si="0"/>
        <v>0</v>
      </c>
      <c r="L5" s="260"/>
      <c r="M5" s="260"/>
      <c r="N5" s="260"/>
      <c r="O5" s="260"/>
      <c r="P5" s="261"/>
    </row>
    <row r="6" ht="14.65" customHeight="1" spans="1:16">
      <c r="A6" s="208" t="s">
        <v>20</v>
      </c>
      <c r="B6" s="240" t="s">
        <v>21</v>
      </c>
      <c r="C6" s="244">
        <f t="shared" si="1"/>
        <v>0</v>
      </c>
      <c r="D6" s="246"/>
      <c r="E6" s="245"/>
      <c r="F6" s="245"/>
      <c r="G6" s="245"/>
      <c r="H6" s="245"/>
      <c r="I6" s="208" t="s">
        <v>22</v>
      </c>
      <c r="J6" s="240" t="s">
        <v>23</v>
      </c>
      <c r="K6" s="244">
        <f t="shared" si="0"/>
        <v>0</v>
      </c>
      <c r="L6" s="260"/>
      <c r="M6" s="260"/>
      <c r="N6" s="260"/>
      <c r="O6" s="260"/>
      <c r="P6" s="261"/>
    </row>
    <row r="7" ht="14.65" customHeight="1" spans="1:16">
      <c r="A7" s="208" t="s">
        <v>24</v>
      </c>
      <c r="B7" s="240" t="s">
        <v>25</v>
      </c>
      <c r="C7" s="244">
        <f t="shared" si="1"/>
        <v>0</v>
      </c>
      <c r="D7" s="245"/>
      <c r="E7" s="245"/>
      <c r="F7" s="245"/>
      <c r="G7" s="245"/>
      <c r="H7" s="245"/>
      <c r="I7" s="208" t="s">
        <v>26</v>
      </c>
      <c r="J7" s="240" t="s">
        <v>27</v>
      </c>
      <c r="K7" s="244">
        <f t="shared" si="0"/>
        <v>0</v>
      </c>
      <c r="L7" s="260"/>
      <c r="M7" s="260"/>
      <c r="N7" s="260"/>
      <c r="O7" s="260"/>
      <c r="P7" s="261"/>
    </row>
    <row r="8" ht="14.65" customHeight="1" spans="1:16">
      <c r="A8" s="208" t="s">
        <v>28</v>
      </c>
      <c r="B8" s="240" t="s">
        <v>29</v>
      </c>
      <c r="C8" s="244">
        <f t="shared" si="1"/>
        <v>0</v>
      </c>
      <c r="D8" s="245"/>
      <c r="E8" s="245"/>
      <c r="F8" s="245"/>
      <c r="G8" s="245"/>
      <c r="H8" s="245"/>
      <c r="I8" s="208" t="s">
        <v>30</v>
      </c>
      <c r="J8" s="240" t="s">
        <v>31</v>
      </c>
      <c r="K8" s="244">
        <f t="shared" si="0"/>
        <v>0</v>
      </c>
      <c r="L8" s="260"/>
      <c r="M8" s="260"/>
      <c r="N8" s="260"/>
      <c r="O8" s="260"/>
      <c r="P8" s="261"/>
    </row>
    <row r="9" ht="14.65" customHeight="1" spans="1:16">
      <c r="A9" s="208" t="s">
        <v>32</v>
      </c>
      <c r="B9" s="240" t="s">
        <v>33</v>
      </c>
      <c r="C9" s="244">
        <f t="shared" si="1"/>
        <v>0</v>
      </c>
      <c r="D9" s="245"/>
      <c r="E9" s="245"/>
      <c r="F9" s="245"/>
      <c r="G9" s="245"/>
      <c r="H9" s="245"/>
      <c r="I9" s="208" t="s">
        <v>34</v>
      </c>
      <c r="J9" s="240" t="s">
        <v>35</v>
      </c>
      <c r="K9" s="244">
        <f t="shared" si="0"/>
        <v>0</v>
      </c>
      <c r="L9" s="260"/>
      <c r="M9" s="260"/>
      <c r="N9" s="260"/>
      <c r="O9" s="260"/>
      <c r="P9" s="261"/>
    </row>
    <row r="10" ht="14.65" customHeight="1" spans="1:16">
      <c r="A10" s="208" t="s">
        <v>36</v>
      </c>
      <c r="B10" s="240" t="s">
        <v>37</v>
      </c>
      <c r="C10" s="244">
        <f t="shared" si="1"/>
        <v>0</v>
      </c>
      <c r="D10" s="245"/>
      <c r="E10" s="245"/>
      <c r="F10" s="245"/>
      <c r="G10" s="245"/>
      <c r="H10" s="245"/>
      <c r="I10" s="208" t="s">
        <v>38</v>
      </c>
      <c r="J10" s="240" t="s">
        <v>39</v>
      </c>
      <c r="K10" s="244">
        <f t="shared" si="0"/>
        <v>0</v>
      </c>
      <c r="L10" s="260"/>
      <c r="M10" s="260"/>
      <c r="N10" s="260"/>
      <c r="O10" s="260"/>
      <c r="P10" s="261"/>
    </row>
    <row r="11" ht="14.65" customHeight="1" spans="1:16">
      <c r="A11" s="208" t="s">
        <v>40</v>
      </c>
      <c r="B11" s="240" t="s">
        <v>41</v>
      </c>
      <c r="C11" s="244">
        <f t="shared" si="1"/>
        <v>5560117.402</v>
      </c>
      <c r="D11" s="245"/>
      <c r="E11" s="247">
        <v>5560117.402</v>
      </c>
      <c r="F11" s="248"/>
      <c r="G11" s="245"/>
      <c r="H11" s="245"/>
      <c r="I11" s="208" t="s">
        <v>42</v>
      </c>
      <c r="J11" s="240" t="s">
        <v>43</v>
      </c>
      <c r="K11" s="244">
        <f t="shared" si="0"/>
        <v>717814.42</v>
      </c>
      <c r="L11" s="260">
        <v>554915</v>
      </c>
      <c r="M11" s="260">
        <v>162899.42</v>
      </c>
      <c r="N11" s="260"/>
      <c r="O11" s="260"/>
      <c r="P11" s="261"/>
    </row>
    <row r="12" ht="14.65" customHeight="1" spans="1:16">
      <c r="A12" s="208" t="s">
        <v>44</v>
      </c>
      <c r="B12" s="240" t="s">
        <v>45</v>
      </c>
      <c r="C12" s="244">
        <f t="shared" si="1"/>
        <v>0</v>
      </c>
      <c r="D12" s="245"/>
      <c r="E12" s="245"/>
      <c r="F12" s="245"/>
      <c r="G12" s="245"/>
      <c r="H12" s="245"/>
      <c r="I12" s="208" t="s">
        <v>46</v>
      </c>
      <c r="J12" s="240" t="s">
        <v>47</v>
      </c>
      <c r="K12" s="244">
        <f t="shared" si="0"/>
        <v>6638</v>
      </c>
      <c r="L12" s="260"/>
      <c r="M12" s="260">
        <v>6638</v>
      </c>
      <c r="N12" s="260"/>
      <c r="O12" s="260"/>
      <c r="P12" s="261"/>
    </row>
    <row r="13" ht="14.65" customHeight="1" spans="1:16">
      <c r="A13" s="208" t="s">
        <v>48</v>
      </c>
      <c r="B13" s="240" t="s">
        <v>49</v>
      </c>
      <c r="C13" s="244">
        <f t="shared" si="1"/>
        <v>23683.7</v>
      </c>
      <c r="D13" s="245"/>
      <c r="E13" s="245">
        <v>22783.7</v>
      </c>
      <c r="F13" s="245">
        <v>900</v>
      </c>
      <c r="G13" s="245"/>
      <c r="H13" s="245"/>
      <c r="I13" s="208" t="s">
        <v>50</v>
      </c>
      <c r="J13" s="240" t="s">
        <v>51</v>
      </c>
      <c r="K13" s="244">
        <f t="shared" si="0"/>
        <v>0</v>
      </c>
      <c r="L13" s="260"/>
      <c r="M13" s="260"/>
      <c r="N13" s="260"/>
      <c r="O13" s="260"/>
      <c r="P13" s="261"/>
    </row>
    <row r="14" ht="14.65" customHeight="1" spans="1:16">
      <c r="A14" s="208" t="s">
        <v>52</v>
      </c>
      <c r="B14" s="240" t="s">
        <v>53</v>
      </c>
      <c r="C14" s="244">
        <f t="shared" si="1"/>
        <v>0</v>
      </c>
      <c r="D14" s="245"/>
      <c r="E14" s="245"/>
      <c r="F14" s="245"/>
      <c r="G14" s="245"/>
      <c r="H14" s="245"/>
      <c r="I14" s="208" t="s">
        <v>54</v>
      </c>
      <c r="J14" s="240" t="s">
        <v>55</v>
      </c>
      <c r="K14" s="244">
        <f t="shared" si="0"/>
        <v>0</v>
      </c>
      <c r="L14" s="260"/>
      <c r="M14" s="260"/>
      <c r="N14" s="260"/>
      <c r="O14" s="260"/>
      <c r="P14" s="261"/>
    </row>
    <row r="15" ht="14.65" customHeight="1" spans="1:16">
      <c r="A15" s="208" t="s">
        <v>56</v>
      </c>
      <c r="B15" s="240" t="s">
        <v>57</v>
      </c>
      <c r="C15" s="244">
        <f t="shared" si="1"/>
        <v>0</v>
      </c>
      <c r="D15" s="245"/>
      <c r="E15" s="245"/>
      <c r="F15" s="245"/>
      <c r="G15" s="245"/>
      <c r="H15" s="245"/>
      <c r="I15" s="208" t="s">
        <v>58</v>
      </c>
      <c r="J15" s="240" t="s">
        <v>59</v>
      </c>
      <c r="K15" s="244">
        <f t="shared" si="0"/>
        <v>0</v>
      </c>
      <c r="L15" s="260"/>
      <c r="M15" s="260"/>
      <c r="N15" s="260"/>
      <c r="O15" s="260"/>
      <c r="P15" s="261"/>
    </row>
    <row r="16" ht="14.65" customHeight="1" spans="1:16">
      <c r="A16" s="208" t="s">
        <v>60</v>
      </c>
      <c r="B16" s="240" t="s">
        <v>61</v>
      </c>
      <c r="C16" s="244">
        <f t="shared" si="1"/>
        <v>0</v>
      </c>
      <c r="D16" s="249"/>
      <c r="E16" s="245"/>
      <c r="F16" s="245"/>
      <c r="G16" s="245"/>
      <c r="H16" s="245"/>
      <c r="I16" s="208" t="s">
        <v>62</v>
      </c>
      <c r="J16" s="240" t="s">
        <v>63</v>
      </c>
      <c r="K16" s="244">
        <f t="shared" si="0"/>
        <v>0</v>
      </c>
      <c r="L16" s="260"/>
      <c r="M16" s="260"/>
      <c r="N16" s="260"/>
      <c r="O16" s="260"/>
      <c r="P16" s="261"/>
    </row>
    <row r="17" ht="14.65" customHeight="1" spans="1:16">
      <c r="A17" s="208" t="s">
        <v>64</v>
      </c>
      <c r="B17" s="240" t="s">
        <v>65</v>
      </c>
      <c r="C17" s="244">
        <f t="shared" si="1"/>
        <v>25690.39</v>
      </c>
      <c r="D17" s="245">
        <v>9800</v>
      </c>
      <c r="E17" s="245">
        <v>6302.39</v>
      </c>
      <c r="F17" s="245">
        <v>9588</v>
      </c>
      <c r="G17" s="245"/>
      <c r="H17" s="245"/>
      <c r="I17" s="208" t="s">
        <v>66</v>
      </c>
      <c r="J17" s="240" t="s">
        <v>67</v>
      </c>
      <c r="K17" s="244">
        <f t="shared" si="0"/>
        <v>0</v>
      </c>
      <c r="L17" s="260"/>
      <c r="M17" s="260"/>
      <c r="N17" s="260"/>
      <c r="O17" s="260"/>
      <c r="P17" s="261"/>
    </row>
    <row r="18" ht="14.65" customHeight="1" spans="1:16">
      <c r="A18" s="208" t="s">
        <v>68</v>
      </c>
      <c r="B18" s="240" t="s">
        <v>69</v>
      </c>
      <c r="C18" s="244">
        <f t="shared" si="1"/>
        <v>0</v>
      </c>
      <c r="D18" s="245"/>
      <c r="E18" s="245"/>
      <c r="F18" s="245"/>
      <c r="G18" s="250"/>
      <c r="H18" s="245"/>
      <c r="I18" s="208" t="s">
        <v>70</v>
      </c>
      <c r="J18" s="240" t="s">
        <v>71</v>
      </c>
      <c r="K18" s="244">
        <f t="shared" si="0"/>
        <v>3381709.36</v>
      </c>
      <c r="L18" s="260">
        <v>2027488.4</v>
      </c>
      <c r="M18" s="260">
        <v>1110319.98</v>
      </c>
      <c r="N18" s="260">
        <v>243900.98</v>
      </c>
      <c r="O18" s="260"/>
      <c r="P18" s="261"/>
    </row>
    <row r="19" ht="14.65" customHeight="1" spans="1:16">
      <c r="A19" s="208" t="s">
        <v>72</v>
      </c>
      <c r="B19" s="240" t="s">
        <v>73</v>
      </c>
      <c r="C19" s="244">
        <f t="shared" si="1"/>
        <v>0</v>
      </c>
      <c r="D19" s="245"/>
      <c r="E19" s="245"/>
      <c r="F19" s="251"/>
      <c r="G19" s="252"/>
      <c r="I19" s="208" t="s">
        <v>497</v>
      </c>
      <c r="J19" s="240" t="s">
        <v>75</v>
      </c>
      <c r="K19" s="244">
        <f t="shared" ref="K19:K51" si="2">L19+M19+O19-P19+N19</f>
        <v>0</v>
      </c>
      <c r="L19" s="260"/>
      <c r="M19" s="260"/>
      <c r="N19" s="260"/>
      <c r="O19" s="260"/>
      <c r="P19" s="261"/>
    </row>
    <row r="20" ht="14.65" customHeight="1" spans="1:16">
      <c r="A20" s="208" t="s">
        <v>76</v>
      </c>
      <c r="B20" s="240" t="s">
        <v>77</v>
      </c>
      <c r="C20" s="244">
        <f t="shared" si="1"/>
        <v>685812.84</v>
      </c>
      <c r="D20" s="245"/>
      <c r="E20" s="245">
        <v>102794.65</v>
      </c>
      <c r="F20" s="245">
        <v>583018.19</v>
      </c>
      <c r="G20" s="253"/>
      <c r="H20" s="245"/>
      <c r="I20" s="208" t="s">
        <v>498</v>
      </c>
      <c r="J20" s="240" t="s">
        <v>79</v>
      </c>
      <c r="K20" s="244">
        <f t="shared" si="2"/>
        <v>0</v>
      </c>
      <c r="L20" s="260"/>
      <c r="M20" s="260"/>
      <c r="N20" s="260"/>
      <c r="O20" s="260"/>
      <c r="P20" s="261"/>
    </row>
    <row r="21" ht="14.65" customHeight="1" spans="1:16">
      <c r="A21" s="208" t="s">
        <v>80</v>
      </c>
      <c r="B21" s="240" t="s">
        <v>81</v>
      </c>
      <c r="C21" s="244">
        <f t="shared" si="1"/>
        <v>0</v>
      </c>
      <c r="D21" s="245"/>
      <c r="E21" s="245"/>
      <c r="F21" s="245"/>
      <c r="G21" s="245"/>
      <c r="H21" s="245"/>
      <c r="I21" s="208" t="s">
        <v>499</v>
      </c>
      <c r="J21" s="240" t="s">
        <v>83</v>
      </c>
      <c r="K21" s="244">
        <f t="shared" si="2"/>
        <v>0</v>
      </c>
      <c r="L21" s="260"/>
      <c r="M21" s="260"/>
      <c r="N21" s="260"/>
      <c r="O21" s="260"/>
      <c r="P21" s="261"/>
    </row>
    <row r="22" ht="14.65" customHeight="1" spans="1:16">
      <c r="A22" s="208" t="s">
        <v>84</v>
      </c>
      <c r="B22" s="240" t="s">
        <v>85</v>
      </c>
      <c r="C22" s="244">
        <f t="shared" si="1"/>
        <v>0</v>
      </c>
      <c r="D22" s="245"/>
      <c r="E22" s="245"/>
      <c r="F22" s="245"/>
      <c r="G22" s="245"/>
      <c r="H22" s="245"/>
      <c r="I22" s="208" t="s">
        <v>86</v>
      </c>
      <c r="J22" s="240" t="s">
        <v>87</v>
      </c>
      <c r="K22" s="244">
        <f t="shared" si="2"/>
        <v>728903.62</v>
      </c>
      <c r="L22" s="260">
        <v>877827.83</v>
      </c>
      <c r="M22" s="262">
        <v>-148924.21</v>
      </c>
      <c r="N22" s="262"/>
      <c r="O22" s="260"/>
      <c r="P22" s="261"/>
    </row>
    <row r="23" ht="14.65" customHeight="1" spans="1:16">
      <c r="A23" s="208" t="s">
        <v>88</v>
      </c>
      <c r="B23" s="240" t="s">
        <v>89</v>
      </c>
      <c r="C23" s="244">
        <f t="shared" si="1"/>
        <v>0</v>
      </c>
      <c r="D23" s="245"/>
      <c r="E23" s="245"/>
      <c r="F23" s="245"/>
      <c r="G23" s="245"/>
      <c r="H23" s="245"/>
      <c r="I23" s="208" t="s">
        <v>90</v>
      </c>
      <c r="J23" s="240" t="s">
        <v>91</v>
      </c>
      <c r="K23" s="244">
        <f t="shared" si="2"/>
        <v>0</v>
      </c>
      <c r="L23" s="260"/>
      <c r="M23" s="260"/>
      <c r="N23" s="260"/>
      <c r="O23" s="260"/>
      <c r="P23" s="261"/>
    </row>
    <row r="24" ht="14.65" customHeight="1" spans="1:16">
      <c r="A24" s="208" t="s">
        <v>92</v>
      </c>
      <c r="B24" s="240" t="s">
        <v>93</v>
      </c>
      <c r="C24" s="244">
        <f t="shared" si="1"/>
        <v>0</v>
      </c>
      <c r="D24" s="245"/>
      <c r="E24" s="245"/>
      <c r="F24" s="245"/>
      <c r="G24" s="245"/>
      <c r="H24" s="245"/>
      <c r="I24" s="208" t="s">
        <v>94</v>
      </c>
      <c r="J24" s="240" t="s">
        <v>95</v>
      </c>
      <c r="K24" s="244">
        <f t="shared" si="2"/>
        <v>571438.75</v>
      </c>
      <c r="L24" s="260">
        <v>301522.2</v>
      </c>
      <c r="M24" s="260">
        <v>253755.15</v>
      </c>
      <c r="N24" s="260">
        <v>16161.4</v>
      </c>
      <c r="O24" s="260"/>
      <c r="P24" s="261"/>
    </row>
    <row r="25" ht="14.65" customHeight="1" spans="1:16">
      <c r="A25" s="208" t="s">
        <v>96</v>
      </c>
      <c r="B25" s="240" t="s">
        <v>97</v>
      </c>
      <c r="C25" s="244">
        <f t="shared" si="1"/>
        <v>0</v>
      </c>
      <c r="D25" s="245"/>
      <c r="E25" s="245"/>
      <c r="F25" s="245"/>
      <c r="G25" s="245"/>
      <c r="H25" s="245"/>
      <c r="I25" s="208" t="s">
        <v>98</v>
      </c>
      <c r="J25" s="240" t="s">
        <v>99</v>
      </c>
      <c r="K25" s="244">
        <f t="shared" si="2"/>
        <v>0</v>
      </c>
      <c r="L25" s="260"/>
      <c r="M25" s="260"/>
      <c r="N25" s="260"/>
      <c r="O25" s="260"/>
      <c r="P25" s="261"/>
    </row>
    <row r="26" ht="14.65" customHeight="1" spans="1:16">
      <c r="A26" s="208" t="s">
        <v>100</v>
      </c>
      <c r="B26" s="240" t="s">
        <v>101</v>
      </c>
      <c r="C26" s="244">
        <f t="shared" si="1"/>
        <v>0</v>
      </c>
      <c r="D26" s="245"/>
      <c r="E26" s="245"/>
      <c r="F26" s="245"/>
      <c r="G26" s="245"/>
      <c r="H26" s="245"/>
      <c r="I26" s="208" t="s">
        <v>102</v>
      </c>
      <c r="J26" s="240" t="s">
        <v>103</v>
      </c>
      <c r="K26" s="244">
        <f t="shared" si="2"/>
        <v>0</v>
      </c>
      <c r="L26" s="260"/>
      <c r="M26" s="260"/>
      <c r="N26" s="260"/>
      <c r="O26" s="260"/>
      <c r="P26" s="261"/>
    </row>
    <row r="27" ht="14.65" customHeight="1" spans="1:16">
      <c r="A27" s="254" t="s">
        <v>104</v>
      </c>
      <c r="B27" s="240" t="s">
        <v>105</v>
      </c>
      <c r="C27" s="244">
        <f t="shared" si="1"/>
        <v>61647507.912</v>
      </c>
      <c r="D27" s="245">
        <f>D4+D7+D10+D11+D13+D17+D20+D23</f>
        <v>54327934.52</v>
      </c>
      <c r="E27" s="245">
        <f>E4+E7+E10+E11+E13+E17+E20+E23</f>
        <v>6040251.332</v>
      </c>
      <c r="F27" s="245">
        <f>F4+F7+F10+F11+F13+F17+F20+F23</f>
        <v>1279322.06</v>
      </c>
      <c r="G27" s="245"/>
      <c r="H27" s="245"/>
      <c r="I27" s="208" t="s">
        <v>106</v>
      </c>
      <c r="J27" s="240" t="s">
        <v>107</v>
      </c>
      <c r="K27" s="244">
        <f t="shared" si="2"/>
        <v>0</v>
      </c>
      <c r="L27" s="260"/>
      <c r="M27" s="260"/>
      <c r="N27" s="260"/>
      <c r="O27" s="260"/>
      <c r="P27" s="261"/>
    </row>
    <row r="28" ht="14.65" customHeight="1" spans="1:16">
      <c r="A28" s="241" t="s">
        <v>108</v>
      </c>
      <c r="B28" s="240" t="s">
        <v>109</v>
      </c>
      <c r="C28" s="244">
        <f t="shared" si="1"/>
        <v>0</v>
      </c>
      <c r="D28" s="255"/>
      <c r="E28" s="255"/>
      <c r="F28" s="255"/>
      <c r="G28" s="255"/>
      <c r="H28" s="255"/>
      <c r="I28" s="208" t="s">
        <v>110</v>
      </c>
      <c r="J28" s="240" t="s">
        <v>111</v>
      </c>
      <c r="K28" s="244">
        <f t="shared" si="2"/>
        <v>0</v>
      </c>
      <c r="L28" s="260"/>
      <c r="M28" s="260"/>
      <c r="N28" s="260"/>
      <c r="O28" s="260"/>
      <c r="P28" s="261"/>
    </row>
    <row r="29" ht="14.65" customHeight="1" spans="1:16">
      <c r="A29" s="208" t="s">
        <v>112</v>
      </c>
      <c r="B29" s="240" t="s">
        <v>113</v>
      </c>
      <c r="C29" s="244">
        <f t="shared" si="1"/>
        <v>0</v>
      </c>
      <c r="D29" s="245"/>
      <c r="E29" s="245"/>
      <c r="F29" s="245"/>
      <c r="G29" s="245"/>
      <c r="H29" s="245"/>
      <c r="I29" s="208" t="s">
        <v>114</v>
      </c>
      <c r="J29" s="240" t="s">
        <v>115</v>
      </c>
      <c r="K29" s="244">
        <f t="shared" si="2"/>
        <v>0</v>
      </c>
      <c r="L29" s="260"/>
      <c r="M29" s="260"/>
      <c r="N29" s="260"/>
      <c r="O29" s="260"/>
      <c r="P29" s="261"/>
    </row>
    <row r="30" ht="14.65" customHeight="1" spans="1:16">
      <c r="A30" s="208" t="s">
        <v>116</v>
      </c>
      <c r="B30" s="240" t="s">
        <v>117</v>
      </c>
      <c r="C30" s="244">
        <f t="shared" si="1"/>
        <v>0</v>
      </c>
      <c r="D30" s="245"/>
      <c r="E30" s="245"/>
      <c r="F30" s="245"/>
      <c r="G30" s="245"/>
      <c r="H30" s="245"/>
      <c r="I30" s="208" t="s">
        <v>118</v>
      </c>
      <c r="J30" s="240" t="s">
        <v>119</v>
      </c>
      <c r="K30" s="244">
        <f t="shared" si="2"/>
        <v>846318.02</v>
      </c>
      <c r="L30" s="260"/>
      <c r="M30" s="260">
        <v>846318.02</v>
      </c>
      <c r="N30" s="260"/>
      <c r="O30" s="260"/>
      <c r="P30" s="261"/>
    </row>
    <row r="31" ht="14.65" customHeight="1" spans="1:16">
      <c r="A31" s="208" t="s">
        <v>120</v>
      </c>
      <c r="B31" s="240" t="s">
        <v>121</v>
      </c>
      <c r="C31" s="244">
        <f t="shared" si="1"/>
        <v>0</v>
      </c>
      <c r="D31" s="245"/>
      <c r="E31" s="245"/>
      <c r="F31" s="245"/>
      <c r="G31" s="245"/>
      <c r="H31" s="245"/>
      <c r="I31" s="254" t="s">
        <v>122</v>
      </c>
      <c r="J31" s="240" t="s">
        <v>123</v>
      </c>
      <c r="K31" s="244">
        <f t="shared" si="2"/>
        <v>6252822.17</v>
      </c>
      <c r="L31" s="244">
        <f>L11+L18+L22+L24</f>
        <v>3761753.43</v>
      </c>
      <c r="M31" s="260">
        <f>SUM(M4:M30)</f>
        <v>2231006.36</v>
      </c>
      <c r="N31" s="260">
        <f>SUM(N4:N30)</f>
        <v>260062.38</v>
      </c>
      <c r="O31" s="260"/>
      <c r="P31" s="261"/>
    </row>
    <row r="32" ht="14.65" customHeight="1" spans="1:16">
      <c r="A32" s="208" t="s">
        <v>124</v>
      </c>
      <c r="B32" s="240" t="s">
        <v>125</v>
      </c>
      <c r="C32" s="244">
        <f t="shared" si="1"/>
        <v>0</v>
      </c>
      <c r="D32" s="245"/>
      <c r="E32" s="245"/>
      <c r="F32" s="245"/>
      <c r="G32" s="245"/>
      <c r="H32" s="245"/>
      <c r="I32" s="241" t="s">
        <v>126</v>
      </c>
      <c r="J32" s="240" t="s">
        <v>127</v>
      </c>
      <c r="K32" s="244">
        <f t="shared" si="2"/>
        <v>0</v>
      </c>
      <c r="L32" s="263"/>
      <c r="M32" s="263"/>
      <c r="N32" s="263"/>
      <c r="O32" s="263"/>
      <c r="P32" s="264"/>
    </row>
    <row r="33" ht="14.65" customHeight="1" spans="1:16">
      <c r="A33" s="208" t="s">
        <v>128</v>
      </c>
      <c r="B33" s="240" t="s">
        <v>129</v>
      </c>
      <c r="C33" s="244">
        <f t="shared" si="1"/>
        <v>0</v>
      </c>
      <c r="D33" s="245"/>
      <c r="E33" s="245"/>
      <c r="F33" s="245"/>
      <c r="G33" s="245"/>
      <c r="H33" s="245"/>
      <c r="I33" s="208" t="s">
        <v>130</v>
      </c>
      <c r="J33" s="240" t="s">
        <v>131</v>
      </c>
      <c r="K33" s="244">
        <f t="shared" si="2"/>
        <v>0</v>
      </c>
      <c r="L33" s="260"/>
      <c r="M33" s="260"/>
      <c r="N33" s="260"/>
      <c r="O33" s="260"/>
      <c r="P33" s="261"/>
    </row>
    <row r="34" ht="14.65" customHeight="1" spans="1:16">
      <c r="A34" s="208" t="s">
        <v>132</v>
      </c>
      <c r="B34" s="240" t="s">
        <v>133</v>
      </c>
      <c r="C34" s="244">
        <f t="shared" si="1"/>
        <v>0</v>
      </c>
      <c r="D34" s="245"/>
      <c r="E34" s="245"/>
      <c r="F34" s="245"/>
      <c r="G34" s="245"/>
      <c r="H34" s="245"/>
      <c r="I34" s="208" t="s">
        <v>134</v>
      </c>
      <c r="J34" s="240" t="s">
        <v>135</v>
      </c>
      <c r="K34" s="244">
        <f t="shared" si="2"/>
        <v>0</v>
      </c>
      <c r="L34" s="260"/>
      <c r="M34" s="260"/>
      <c r="N34" s="260"/>
      <c r="O34" s="260"/>
      <c r="P34" s="261"/>
    </row>
    <row r="35" ht="14.65" customHeight="1" spans="1:16">
      <c r="A35" s="208" t="s">
        <v>136</v>
      </c>
      <c r="B35" s="240" t="s">
        <v>137</v>
      </c>
      <c r="C35" s="244">
        <f t="shared" si="1"/>
        <v>0</v>
      </c>
      <c r="D35" s="245">
        <v>4307600</v>
      </c>
      <c r="E35" s="245"/>
      <c r="F35" s="245"/>
      <c r="G35" s="245">
        <v>4307600</v>
      </c>
      <c r="H35" s="245"/>
      <c r="I35" s="208" t="s">
        <v>138</v>
      </c>
      <c r="J35" s="240" t="s">
        <v>139</v>
      </c>
      <c r="K35" s="244">
        <f t="shared" si="2"/>
        <v>0</v>
      </c>
      <c r="L35" s="260"/>
      <c r="M35" s="260"/>
      <c r="N35" s="260"/>
      <c r="O35" s="260"/>
      <c r="P35" s="261"/>
    </row>
    <row r="36" ht="14.65" customHeight="1" spans="1:16">
      <c r="A36" s="208" t="s">
        <v>140</v>
      </c>
      <c r="B36" s="240" t="s">
        <v>141</v>
      </c>
      <c r="C36" s="244">
        <f t="shared" si="1"/>
        <v>0</v>
      </c>
      <c r="D36" s="245"/>
      <c r="E36" s="245"/>
      <c r="F36" s="245"/>
      <c r="G36" s="245"/>
      <c r="H36" s="245"/>
      <c r="I36" s="208" t="s">
        <v>142</v>
      </c>
      <c r="J36" s="240" t="s">
        <v>143</v>
      </c>
      <c r="K36" s="244">
        <f t="shared" si="2"/>
        <v>0</v>
      </c>
      <c r="L36" s="260"/>
      <c r="M36" s="260"/>
      <c r="N36" s="260"/>
      <c r="O36" s="260"/>
      <c r="P36" s="261"/>
    </row>
    <row r="37" ht="14.65" customHeight="1" spans="1:16">
      <c r="A37" s="208" t="s">
        <v>144</v>
      </c>
      <c r="B37" s="240" t="s">
        <v>145</v>
      </c>
      <c r="C37" s="244">
        <f t="shared" ref="C37:C76" si="3">D37+E37-G37+H37+F37</f>
        <v>0</v>
      </c>
      <c r="D37" s="245"/>
      <c r="E37" s="245"/>
      <c r="F37" s="245"/>
      <c r="G37" s="245"/>
      <c r="H37" s="245"/>
      <c r="I37" s="208" t="s">
        <v>146</v>
      </c>
      <c r="J37" s="240" t="s">
        <v>147</v>
      </c>
      <c r="K37" s="244">
        <f t="shared" si="2"/>
        <v>0</v>
      </c>
      <c r="L37" s="260"/>
      <c r="M37" s="260"/>
      <c r="N37" s="260"/>
      <c r="O37" s="260"/>
      <c r="P37" s="261"/>
    </row>
    <row r="38" ht="14.65" customHeight="1" spans="1:16">
      <c r="A38" s="208" t="s">
        <v>148</v>
      </c>
      <c r="B38" s="240" t="s">
        <v>149</v>
      </c>
      <c r="C38" s="244">
        <f t="shared" si="3"/>
        <v>0</v>
      </c>
      <c r="D38" s="245"/>
      <c r="E38" s="245"/>
      <c r="F38" s="245"/>
      <c r="G38" s="245"/>
      <c r="H38" s="245"/>
      <c r="I38" s="208" t="s">
        <v>150</v>
      </c>
      <c r="J38" s="240" t="s">
        <v>151</v>
      </c>
      <c r="K38" s="244">
        <f t="shared" si="2"/>
        <v>0</v>
      </c>
      <c r="L38" s="260"/>
      <c r="M38" s="260"/>
      <c r="N38" s="260"/>
      <c r="O38" s="260"/>
      <c r="P38" s="261"/>
    </row>
    <row r="39" ht="14.65" customHeight="1" spans="1:16">
      <c r="A39" s="208" t="s">
        <v>152</v>
      </c>
      <c r="B39" s="240" t="s">
        <v>153</v>
      </c>
      <c r="C39" s="244">
        <f t="shared" si="3"/>
        <v>960469.54</v>
      </c>
      <c r="D39" s="245">
        <f>D40-D41-D42</f>
        <v>85147.94</v>
      </c>
      <c r="E39" s="245">
        <f>E40-E41-E42</f>
        <v>745888.55</v>
      </c>
      <c r="F39" s="245">
        <f>F40-F41-F42</f>
        <v>129433.05</v>
      </c>
      <c r="G39" s="245"/>
      <c r="H39" s="245"/>
      <c r="I39" s="208" t="s">
        <v>154</v>
      </c>
      <c r="J39" s="240" t="s">
        <v>155</v>
      </c>
      <c r="K39" s="244">
        <f t="shared" si="2"/>
        <v>0</v>
      </c>
      <c r="L39" s="260"/>
      <c r="M39" s="260"/>
      <c r="N39" s="260"/>
      <c r="O39" s="260"/>
      <c r="P39" s="261"/>
    </row>
    <row r="40" ht="14.65" customHeight="1" spans="1:16">
      <c r="A40" s="208" t="s">
        <v>156</v>
      </c>
      <c r="B40" s="240" t="s">
        <v>157</v>
      </c>
      <c r="C40" s="244">
        <f t="shared" si="3"/>
        <v>1656317.43</v>
      </c>
      <c r="D40" s="245">
        <v>95433</v>
      </c>
      <c r="E40" s="245">
        <v>1405597.18</v>
      </c>
      <c r="F40" s="245">
        <v>155287.25</v>
      </c>
      <c r="G40" s="245"/>
      <c r="H40" s="245"/>
      <c r="I40" s="208" t="s">
        <v>158</v>
      </c>
      <c r="J40" s="240" t="s">
        <v>159</v>
      </c>
      <c r="K40" s="244">
        <f t="shared" si="2"/>
        <v>0</v>
      </c>
      <c r="L40" s="260"/>
      <c r="M40" s="260"/>
      <c r="N40" s="260"/>
      <c r="O40" s="260"/>
      <c r="P40" s="261"/>
    </row>
    <row r="41" ht="14.65" customHeight="1" spans="1:16">
      <c r="A41" s="208" t="s">
        <v>160</v>
      </c>
      <c r="B41" s="240" t="s">
        <v>161</v>
      </c>
      <c r="C41" s="244">
        <f t="shared" si="3"/>
        <v>695847.89</v>
      </c>
      <c r="D41" s="245">
        <v>10285.06</v>
      </c>
      <c r="E41" s="245">
        <v>659708.63</v>
      </c>
      <c r="F41" s="245">
        <v>25854.2</v>
      </c>
      <c r="G41" s="245"/>
      <c r="H41" s="245"/>
      <c r="I41" s="208" t="s">
        <v>162</v>
      </c>
      <c r="J41" s="240" t="s">
        <v>163</v>
      </c>
      <c r="K41" s="244">
        <f t="shared" si="2"/>
        <v>0</v>
      </c>
      <c r="L41" s="260"/>
      <c r="M41" s="260"/>
      <c r="N41" s="260"/>
      <c r="O41" s="260"/>
      <c r="P41" s="261"/>
    </row>
    <row r="42" ht="14.65" customHeight="1" spans="1:16">
      <c r="A42" s="208" t="s">
        <v>164</v>
      </c>
      <c r="B42" s="240" t="s">
        <v>165</v>
      </c>
      <c r="C42" s="244">
        <f t="shared" si="3"/>
        <v>0</v>
      </c>
      <c r="D42" s="245"/>
      <c r="E42" s="245"/>
      <c r="F42" s="245"/>
      <c r="G42" s="245"/>
      <c r="H42" s="245"/>
      <c r="I42" s="208" t="s">
        <v>166</v>
      </c>
      <c r="J42" s="240" t="s">
        <v>167</v>
      </c>
      <c r="K42" s="244">
        <f t="shared" si="2"/>
        <v>2876475.79</v>
      </c>
      <c r="L42" s="260">
        <v>2876475.79</v>
      </c>
      <c r="M42" s="260"/>
      <c r="N42" s="260"/>
      <c r="O42" s="260"/>
      <c r="P42" s="261"/>
    </row>
    <row r="43" ht="14.65" customHeight="1" spans="1:16">
      <c r="A43" s="208" t="s">
        <v>168</v>
      </c>
      <c r="B43" s="240" t="s">
        <v>169</v>
      </c>
      <c r="C43" s="244">
        <f t="shared" si="3"/>
        <v>155266</v>
      </c>
      <c r="D43" s="245"/>
      <c r="E43" s="245"/>
      <c r="F43" s="245">
        <v>155266</v>
      </c>
      <c r="G43" s="245"/>
      <c r="H43" s="245"/>
      <c r="I43" s="208" t="s">
        <v>170</v>
      </c>
      <c r="J43" s="240" t="s">
        <v>171</v>
      </c>
      <c r="K43" s="244">
        <f t="shared" si="2"/>
        <v>0</v>
      </c>
      <c r="L43" s="260"/>
      <c r="M43" s="260"/>
      <c r="N43" s="260"/>
      <c r="O43" s="260"/>
      <c r="P43" s="261"/>
    </row>
    <row r="44" ht="14.65" customHeight="1" spans="1:16">
      <c r="A44" s="208" t="s">
        <v>172</v>
      </c>
      <c r="B44" s="240" t="s">
        <v>173</v>
      </c>
      <c r="C44" s="244">
        <f t="shared" si="3"/>
        <v>107338.63</v>
      </c>
      <c r="D44" s="245"/>
      <c r="E44" s="245"/>
      <c r="F44" s="245">
        <v>107338.63</v>
      </c>
      <c r="G44" s="245"/>
      <c r="H44" s="245"/>
      <c r="I44" s="208" t="s">
        <v>174</v>
      </c>
      <c r="J44" s="240" t="s">
        <v>175</v>
      </c>
      <c r="K44" s="244">
        <f t="shared" si="2"/>
        <v>0</v>
      </c>
      <c r="L44" s="260"/>
      <c r="M44" s="260"/>
      <c r="N44" s="260"/>
      <c r="O44" s="260"/>
      <c r="P44" s="261"/>
    </row>
    <row r="45" ht="14.65" customHeight="1" spans="1:16">
      <c r="A45" s="208" t="s">
        <v>176</v>
      </c>
      <c r="B45" s="240" t="s">
        <v>177</v>
      </c>
      <c r="C45" s="244">
        <f t="shared" si="3"/>
        <v>0</v>
      </c>
      <c r="D45" s="245"/>
      <c r="E45" s="245"/>
      <c r="F45" s="245"/>
      <c r="G45" s="245"/>
      <c r="H45" s="245"/>
      <c r="I45" s="208" t="s">
        <v>178</v>
      </c>
      <c r="J45" s="240" t="s">
        <v>179</v>
      </c>
      <c r="K45" s="244">
        <f t="shared" si="2"/>
        <v>0</v>
      </c>
      <c r="L45" s="260"/>
      <c r="M45" s="260"/>
      <c r="N45" s="260"/>
      <c r="O45" s="260"/>
      <c r="P45" s="261"/>
    </row>
    <row r="46" ht="14.65" customHeight="1" spans="1:16">
      <c r="A46" s="208" t="s">
        <v>180</v>
      </c>
      <c r="B46" s="240" t="s">
        <v>181</v>
      </c>
      <c r="C46" s="244">
        <f t="shared" si="3"/>
        <v>0</v>
      </c>
      <c r="D46" s="245"/>
      <c r="E46" s="245"/>
      <c r="F46" s="245"/>
      <c r="G46" s="245"/>
      <c r="H46" s="245"/>
      <c r="I46" s="254" t="s">
        <v>182</v>
      </c>
      <c r="J46" s="240" t="s">
        <v>183</v>
      </c>
      <c r="K46" s="244">
        <f t="shared" si="2"/>
        <v>2876475.79</v>
      </c>
      <c r="L46" s="260">
        <f>L44+L42</f>
        <v>2876475.79</v>
      </c>
      <c r="M46" s="260">
        <f>M44+M42</f>
        <v>0</v>
      </c>
      <c r="N46" s="260">
        <f>N44+N42</f>
        <v>0</v>
      </c>
      <c r="O46" s="260"/>
      <c r="P46" s="261"/>
    </row>
    <row r="47" ht="14.65" customHeight="1" spans="1:16">
      <c r="A47" s="208" t="s">
        <v>184</v>
      </c>
      <c r="B47" s="240" t="s">
        <v>185</v>
      </c>
      <c r="C47" s="244">
        <f t="shared" si="3"/>
        <v>9779.08</v>
      </c>
      <c r="D47" s="245">
        <v>3504.35</v>
      </c>
      <c r="E47" s="245"/>
      <c r="F47" s="245">
        <v>6274.73</v>
      </c>
      <c r="G47" s="245"/>
      <c r="H47" s="245"/>
      <c r="I47" s="254" t="s">
        <v>186</v>
      </c>
      <c r="J47" s="240" t="s">
        <v>187</v>
      </c>
      <c r="K47" s="244">
        <f t="shared" si="2"/>
        <v>9129297.96</v>
      </c>
      <c r="L47" s="260">
        <f>L46+L31</f>
        <v>6638229.22</v>
      </c>
      <c r="M47" s="260">
        <f>M46+M31</f>
        <v>2231006.36</v>
      </c>
      <c r="N47" s="260">
        <f>N46+N31</f>
        <v>260062.38</v>
      </c>
      <c r="O47" s="260"/>
      <c r="P47" s="261"/>
    </row>
    <row r="48" ht="14.65" customHeight="1" spans="1:16">
      <c r="A48" s="208" t="s">
        <v>188</v>
      </c>
      <c r="B48" s="240" t="s">
        <v>189</v>
      </c>
      <c r="C48" s="244">
        <f t="shared" si="3"/>
        <v>0</v>
      </c>
      <c r="D48" s="245"/>
      <c r="E48" s="245"/>
      <c r="F48" s="245"/>
      <c r="G48" s="245"/>
      <c r="H48" s="245"/>
      <c r="I48" s="241" t="s">
        <v>190</v>
      </c>
      <c r="J48" s="240" t="s">
        <v>191</v>
      </c>
      <c r="K48" s="244">
        <f t="shared" si="2"/>
        <v>0</v>
      </c>
      <c r="L48" s="263"/>
      <c r="M48" s="263"/>
      <c r="N48" s="263"/>
      <c r="O48" s="263"/>
      <c r="P48" s="264"/>
    </row>
    <row r="49" ht="14.65" customHeight="1" spans="1:16">
      <c r="A49" s="208" t="s">
        <v>192</v>
      </c>
      <c r="B49" s="240" t="s">
        <v>193</v>
      </c>
      <c r="C49" s="244">
        <f t="shared" si="3"/>
        <v>0</v>
      </c>
      <c r="D49" s="245"/>
      <c r="E49" s="245"/>
      <c r="F49" s="245"/>
      <c r="G49" s="245"/>
      <c r="H49" s="245"/>
      <c r="I49" s="208" t="s">
        <v>194</v>
      </c>
      <c r="J49" s="240" t="s">
        <v>195</v>
      </c>
      <c r="K49" s="244">
        <f t="shared" si="2"/>
        <v>50000000</v>
      </c>
      <c r="L49" s="260">
        <f>L51</f>
        <v>50000000</v>
      </c>
      <c r="M49" s="260">
        <f>M51</f>
        <v>1307600</v>
      </c>
      <c r="N49" s="260">
        <f>N51</f>
        <v>3000000</v>
      </c>
      <c r="O49" s="260"/>
      <c r="P49" s="260">
        <f>P51</f>
        <v>4307600</v>
      </c>
    </row>
    <row r="50" ht="14.65" customHeight="1" spans="1:16">
      <c r="A50" s="208" t="s">
        <v>196</v>
      </c>
      <c r="B50" s="240" t="s">
        <v>197</v>
      </c>
      <c r="C50" s="244">
        <f t="shared" si="3"/>
        <v>605581.32</v>
      </c>
      <c r="D50" s="245"/>
      <c r="E50" s="245"/>
      <c r="F50" s="245">
        <v>605581.32</v>
      </c>
      <c r="G50" s="245"/>
      <c r="H50" s="245"/>
      <c r="I50" s="208" t="s">
        <v>198</v>
      </c>
      <c r="J50" s="240" t="s">
        <v>199</v>
      </c>
      <c r="K50" s="244">
        <f t="shared" si="2"/>
        <v>0</v>
      </c>
      <c r="L50" s="260"/>
      <c r="M50" s="260"/>
      <c r="N50" s="260"/>
      <c r="O50" s="260"/>
      <c r="P50" s="261"/>
    </row>
    <row r="51" ht="14.65" customHeight="1" spans="1:16">
      <c r="A51" s="208" t="s">
        <v>200</v>
      </c>
      <c r="B51" s="240" t="s">
        <v>201</v>
      </c>
      <c r="C51" s="244">
        <f t="shared" si="3"/>
        <v>0</v>
      </c>
      <c r="D51" s="245"/>
      <c r="E51" s="245"/>
      <c r="F51" s="245"/>
      <c r="G51" s="245"/>
      <c r="H51" s="245"/>
      <c r="I51" s="208" t="s">
        <v>202</v>
      </c>
      <c r="J51" s="240" t="s">
        <v>203</v>
      </c>
      <c r="K51" s="244">
        <f t="shared" si="2"/>
        <v>50000000</v>
      </c>
      <c r="L51" s="260">
        <v>50000000</v>
      </c>
      <c r="M51" s="260">
        <v>1307600</v>
      </c>
      <c r="N51" s="260">
        <v>3000000</v>
      </c>
      <c r="O51" s="260"/>
      <c r="P51" s="261">
        <v>4307600</v>
      </c>
    </row>
    <row r="52" ht="14.65" customHeight="1" spans="1:16">
      <c r="A52" s="208" t="s">
        <v>204</v>
      </c>
      <c r="B52" s="240" t="s">
        <v>205</v>
      </c>
      <c r="C52" s="244">
        <f t="shared" si="3"/>
        <v>0</v>
      </c>
      <c r="D52" s="245"/>
      <c r="E52" s="245"/>
      <c r="F52" s="245"/>
      <c r="G52" s="245"/>
      <c r="H52" s="245"/>
      <c r="I52" s="208" t="s">
        <v>206</v>
      </c>
      <c r="J52" s="240" t="s">
        <v>207</v>
      </c>
      <c r="K52" s="244">
        <f t="shared" ref="K51:K76" si="4">L52+M52+O52-P52+N52</f>
        <v>0</v>
      </c>
      <c r="L52" s="260"/>
      <c r="M52" s="260"/>
      <c r="N52" s="260"/>
      <c r="O52" s="260"/>
      <c r="P52" s="261"/>
    </row>
    <row r="53" ht="14.65" customHeight="1" spans="1:16">
      <c r="A53" s="208" t="s">
        <v>208</v>
      </c>
      <c r="B53" s="240" t="s">
        <v>209</v>
      </c>
      <c r="C53" s="244">
        <f t="shared" si="3"/>
        <v>0</v>
      </c>
      <c r="D53" s="245"/>
      <c r="E53" s="245"/>
      <c r="F53" s="245"/>
      <c r="G53" s="245"/>
      <c r="H53" s="245"/>
      <c r="I53" s="208" t="s">
        <v>210</v>
      </c>
      <c r="J53" s="240" t="s">
        <v>211</v>
      </c>
      <c r="K53" s="244">
        <f t="shared" si="4"/>
        <v>0</v>
      </c>
      <c r="L53" s="260"/>
      <c r="M53" s="260"/>
      <c r="N53" s="260"/>
      <c r="O53" s="260"/>
      <c r="P53" s="261"/>
    </row>
    <row r="54" ht="14.65" customHeight="1" spans="1:16">
      <c r="A54" s="254" t="s">
        <v>212</v>
      </c>
      <c r="B54" s="240" t="s">
        <v>213</v>
      </c>
      <c r="C54" s="244">
        <f t="shared" si="3"/>
        <v>1838434.57</v>
      </c>
      <c r="D54" s="245">
        <f>D35+D39+D50+D47+D44+D43</f>
        <v>4396252.29</v>
      </c>
      <c r="E54" s="245">
        <f>E35+E39+E50+E47+E44+E43</f>
        <v>745888.55</v>
      </c>
      <c r="F54" s="245">
        <f>F35+F39+F50+F47+F44+F43</f>
        <v>1003893.73</v>
      </c>
      <c r="G54" s="245">
        <f>G35+G39+G50+G47+G44+G43</f>
        <v>4307600</v>
      </c>
      <c r="H54" s="245">
        <f>H35+H39+H50+H47+H44+H43</f>
        <v>0</v>
      </c>
      <c r="I54" s="208" t="s">
        <v>214</v>
      </c>
      <c r="J54" s="240" t="s">
        <v>215</v>
      </c>
      <c r="K54" s="244">
        <f t="shared" si="4"/>
        <v>0</v>
      </c>
      <c r="L54" s="260"/>
      <c r="M54" s="260"/>
      <c r="N54" s="260"/>
      <c r="O54" s="260"/>
      <c r="P54" s="261"/>
    </row>
    <row r="55" ht="14.65" customHeight="1" spans="1:16">
      <c r="A55" s="208"/>
      <c r="B55" s="240" t="s">
        <v>216</v>
      </c>
      <c r="C55" s="244">
        <f t="shared" si="3"/>
        <v>0</v>
      </c>
      <c r="D55" s="256"/>
      <c r="E55" s="256"/>
      <c r="F55" s="256"/>
      <c r="G55" s="256"/>
      <c r="H55" s="256"/>
      <c r="I55" s="208" t="s">
        <v>217</v>
      </c>
      <c r="J55" s="240" t="s">
        <v>218</v>
      </c>
      <c r="K55" s="244">
        <f t="shared" si="4"/>
        <v>0</v>
      </c>
      <c r="L55" s="260"/>
      <c r="M55" s="260"/>
      <c r="N55" s="260"/>
      <c r="O55" s="260"/>
      <c r="P55" s="261"/>
    </row>
    <row r="56" ht="14.65" customHeight="1" spans="1:16">
      <c r="A56" s="208"/>
      <c r="B56" s="240" t="s">
        <v>219</v>
      </c>
      <c r="C56" s="244">
        <f t="shared" si="3"/>
        <v>0</v>
      </c>
      <c r="D56" s="256"/>
      <c r="E56" s="256"/>
      <c r="F56" s="256"/>
      <c r="G56" s="256"/>
      <c r="H56" s="256"/>
      <c r="I56" s="208" t="s">
        <v>220</v>
      </c>
      <c r="J56" s="240" t="s">
        <v>221</v>
      </c>
      <c r="K56" s="244">
        <f t="shared" si="4"/>
        <v>0</v>
      </c>
      <c r="L56" s="260"/>
      <c r="M56" s="260"/>
      <c r="N56" s="260"/>
      <c r="O56" s="260"/>
      <c r="P56" s="261"/>
    </row>
    <row r="57" ht="14.65" customHeight="1" spans="1:16">
      <c r="A57" s="208"/>
      <c r="B57" s="240" t="s">
        <v>222</v>
      </c>
      <c r="C57" s="244">
        <f t="shared" si="3"/>
        <v>0</v>
      </c>
      <c r="D57" s="256"/>
      <c r="E57" s="256"/>
      <c r="F57" s="256"/>
      <c r="G57" s="256"/>
      <c r="H57" s="256"/>
      <c r="I57" s="208" t="s">
        <v>223</v>
      </c>
      <c r="J57" s="240" t="s">
        <v>224</v>
      </c>
      <c r="K57" s="244">
        <f t="shared" si="4"/>
        <v>0</v>
      </c>
      <c r="L57" s="260"/>
      <c r="M57" s="260"/>
      <c r="N57" s="260"/>
      <c r="O57" s="260"/>
      <c r="P57" s="261"/>
    </row>
    <row r="58" ht="14.65" customHeight="1" spans="1:16">
      <c r="A58" s="208"/>
      <c r="B58" s="240" t="s">
        <v>225</v>
      </c>
      <c r="C58" s="244">
        <f t="shared" si="3"/>
        <v>0</v>
      </c>
      <c r="D58" s="256"/>
      <c r="E58" s="256"/>
      <c r="F58" s="256"/>
      <c r="G58" s="256"/>
      <c r="H58" s="256"/>
      <c r="I58" s="208" t="s">
        <v>142</v>
      </c>
      <c r="J58" s="240" t="s">
        <v>226</v>
      </c>
      <c r="K58" s="244">
        <f t="shared" si="4"/>
        <v>0</v>
      </c>
      <c r="L58" s="260"/>
      <c r="M58" s="260"/>
      <c r="N58" s="260"/>
      <c r="O58" s="260"/>
      <c r="P58" s="261"/>
    </row>
    <row r="59" ht="14.65" customHeight="1" spans="1:16">
      <c r="A59" s="208"/>
      <c r="B59" s="240" t="s">
        <v>227</v>
      </c>
      <c r="C59" s="244">
        <f t="shared" si="3"/>
        <v>0</v>
      </c>
      <c r="D59" s="256"/>
      <c r="E59" s="256"/>
      <c r="F59" s="256"/>
      <c r="G59" s="256"/>
      <c r="H59" s="256"/>
      <c r="I59" s="208" t="s">
        <v>146</v>
      </c>
      <c r="J59" s="240" t="s">
        <v>228</v>
      </c>
      <c r="K59" s="244">
        <f t="shared" si="4"/>
        <v>0</v>
      </c>
      <c r="L59" s="260"/>
      <c r="M59" s="260"/>
      <c r="N59" s="260"/>
      <c r="O59" s="260"/>
      <c r="P59" s="261"/>
    </row>
    <row r="60" ht="14.65" customHeight="1" spans="1:16">
      <c r="A60" s="208"/>
      <c r="B60" s="240" t="s">
        <v>229</v>
      </c>
      <c r="C60" s="244">
        <f t="shared" si="3"/>
        <v>0</v>
      </c>
      <c r="D60" s="256"/>
      <c r="E60" s="256"/>
      <c r="F60" s="256"/>
      <c r="G60" s="256"/>
      <c r="H60" s="256"/>
      <c r="I60" s="208" t="s">
        <v>230</v>
      </c>
      <c r="J60" s="240" t="s">
        <v>231</v>
      </c>
      <c r="K60" s="244">
        <f t="shared" si="4"/>
        <v>1307600</v>
      </c>
      <c r="L60" s="260">
        <v>1307600</v>
      </c>
      <c r="M60" s="260"/>
      <c r="N60" s="260"/>
      <c r="O60" s="260"/>
      <c r="P60" s="261"/>
    </row>
    <row r="61" ht="14.65" customHeight="1" spans="1:16">
      <c r="A61" s="208"/>
      <c r="B61" s="240" t="s">
        <v>232</v>
      </c>
      <c r="C61" s="244">
        <f t="shared" si="3"/>
        <v>0</v>
      </c>
      <c r="D61" s="256"/>
      <c r="E61" s="256"/>
      <c r="F61" s="256"/>
      <c r="G61" s="256"/>
      <c r="H61" s="256"/>
      <c r="I61" s="208" t="s">
        <v>233</v>
      </c>
      <c r="J61" s="240" t="s">
        <v>234</v>
      </c>
      <c r="K61" s="244">
        <f t="shared" si="4"/>
        <v>0</v>
      </c>
      <c r="L61" s="260"/>
      <c r="M61" s="260"/>
      <c r="N61" s="260"/>
      <c r="O61" s="260"/>
      <c r="P61" s="261"/>
    </row>
    <row r="62" ht="14.65" customHeight="1" spans="1:16">
      <c r="A62" s="208"/>
      <c r="B62" s="240" t="s">
        <v>235</v>
      </c>
      <c r="C62" s="244">
        <f t="shared" si="3"/>
        <v>0</v>
      </c>
      <c r="D62" s="256"/>
      <c r="E62" s="256"/>
      <c r="F62" s="256"/>
      <c r="G62" s="256"/>
      <c r="H62" s="256"/>
      <c r="I62" s="208" t="s">
        <v>236</v>
      </c>
      <c r="J62" s="240" t="s">
        <v>237</v>
      </c>
      <c r="K62" s="244">
        <f t="shared" si="4"/>
        <v>0</v>
      </c>
      <c r="L62" s="260"/>
      <c r="M62" s="260"/>
      <c r="N62" s="260"/>
      <c r="O62" s="260"/>
      <c r="P62" s="261"/>
    </row>
    <row r="63" ht="14.65" customHeight="1" spans="1:16">
      <c r="A63" s="208"/>
      <c r="B63" s="240" t="s">
        <v>238</v>
      </c>
      <c r="C63" s="244">
        <f t="shared" si="3"/>
        <v>0</v>
      </c>
      <c r="D63" s="256"/>
      <c r="E63" s="256"/>
      <c r="F63" s="256"/>
      <c r="G63" s="256"/>
      <c r="H63" s="256"/>
      <c r="I63" s="208" t="s">
        <v>239</v>
      </c>
      <c r="J63" s="240" t="s">
        <v>240</v>
      </c>
      <c r="K63" s="244">
        <f t="shared" si="4"/>
        <v>0</v>
      </c>
      <c r="L63" s="260"/>
      <c r="M63" s="260"/>
      <c r="N63" s="260"/>
      <c r="O63" s="260"/>
      <c r="P63" s="261"/>
    </row>
    <row r="64" ht="14.65" customHeight="1" spans="1:16">
      <c r="A64" s="208"/>
      <c r="B64" s="240" t="s">
        <v>241</v>
      </c>
      <c r="C64" s="244">
        <f t="shared" si="3"/>
        <v>0</v>
      </c>
      <c r="D64" s="256"/>
      <c r="E64" s="256"/>
      <c r="F64" s="256"/>
      <c r="G64" s="256"/>
      <c r="H64" s="256"/>
      <c r="I64" s="208" t="s">
        <v>242</v>
      </c>
      <c r="J64" s="240" t="s">
        <v>243</v>
      </c>
      <c r="K64" s="244">
        <f t="shared" si="4"/>
        <v>0</v>
      </c>
      <c r="L64" s="260"/>
      <c r="M64" s="260"/>
      <c r="N64" s="260"/>
      <c r="O64" s="260"/>
      <c r="P64" s="261"/>
    </row>
    <row r="65" ht="14.65" customHeight="1" spans="1:16">
      <c r="A65" s="208"/>
      <c r="B65" s="240" t="s">
        <v>244</v>
      </c>
      <c r="C65" s="244">
        <f t="shared" si="3"/>
        <v>0</v>
      </c>
      <c r="D65" s="256"/>
      <c r="E65" s="256"/>
      <c r="F65" s="256"/>
      <c r="G65" s="256"/>
      <c r="H65" s="256"/>
      <c r="I65" s="208" t="s">
        <v>245</v>
      </c>
      <c r="J65" s="240" t="s">
        <v>246</v>
      </c>
      <c r="K65" s="244">
        <f t="shared" si="4"/>
        <v>0</v>
      </c>
      <c r="L65" s="260"/>
      <c r="M65" s="260"/>
      <c r="N65" s="260"/>
      <c r="O65" s="260"/>
      <c r="P65" s="261"/>
    </row>
    <row r="66" ht="14.65" customHeight="1" spans="1:16">
      <c r="A66" s="208"/>
      <c r="B66" s="240" t="s">
        <v>247</v>
      </c>
      <c r="C66" s="244">
        <f t="shared" si="3"/>
        <v>0</v>
      </c>
      <c r="D66" s="256"/>
      <c r="E66" s="256"/>
      <c r="F66" s="256"/>
      <c r="G66" s="256"/>
      <c r="H66" s="256"/>
      <c r="I66" s="208" t="s">
        <v>248</v>
      </c>
      <c r="J66" s="240" t="s">
        <v>249</v>
      </c>
      <c r="K66" s="244">
        <f t="shared" si="4"/>
        <v>0</v>
      </c>
      <c r="L66" s="260"/>
      <c r="M66" s="260"/>
      <c r="N66" s="260"/>
      <c r="O66" s="260"/>
      <c r="P66" s="261"/>
    </row>
    <row r="67" ht="14.65" customHeight="1" spans="1:16">
      <c r="A67" s="208"/>
      <c r="B67" s="240" t="s">
        <v>250</v>
      </c>
      <c r="C67" s="244">
        <f t="shared" si="3"/>
        <v>0</v>
      </c>
      <c r="D67" s="256"/>
      <c r="E67" s="256"/>
      <c r="F67" s="256"/>
      <c r="G67" s="256"/>
      <c r="H67" s="256"/>
      <c r="I67" s="208" t="s">
        <v>251</v>
      </c>
      <c r="J67" s="240" t="s">
        <v>252</v>
      </c>
      <c r="K67" s="244">
        <f t="shared" si="4"/>
        <v>0</v>
      </c>
      <c r="L67" s="260"/>
      <c r="M67" s="260"/>
      <c r="N67" s="260"/>
      <c r="O67" s="260"/>
      <c r="P67" s="261"/>
    </row>
    <row r="68" ht="14.65" customHeight="1" spans="1:16">
      <c r="A68" s="208"/>
      <c r="B68" s="240" t="s">
        <v>253</v>
      </c>
      <c r="C68" s="244">
        <f t="shared" si="3"/>
        <v>0</v>
      </c>
      <c r="D68" s="256"/>
      <c r="E68" s="256"/>
      <c r="F68" s="256"/>
      <c r="G68" s="256"/>
      <c r="H68" s="256"/>
      <c r="I68" s="208" t="s">
        <v>254</v>
      </c>
      <c r="J68" s="240" t="s">
        <v>255</v>
      </c>
      <c r="K68" s="244">
        <f t="shared" si="4"/>
        <v>0</v>
      </c>
      <c r="L68" s="260"/>
      <c r="M68" s="260"/>
      <c r="N68" s="260"/>
      <c r="O68" s="260"/>
      <c r="P68" s="261"/>
    </row>
    <row r="69" ht="14.65" customHeight="1" spans="1:16">
      <c r="A69" s="208"/>
      <c r="B69" s="240" t="s">
        <v>256</v>
      </c>
      <c r="C69" s="244">
        <f t="shared" si="3"/>
        <v>0</v>
      </c>
      <c r="D69" s="256"/>
      <c r="E69" s="256"/>
      <c r="F69" s="256"/>
      <c r="G69" s="256"/>
      <c r="H69" s="256"/>
      <c r="I69" s="208" t="s">
        <v>257</v>
      </c>
      <c r="J69" s="240" t="s">
        <v>258</v>
      </c>
      <c r="K69" s="244">
        <f t="shared" si="4"/>
        <v>0</v>
      </c>
      <c r="L69" s="260"/>
      <c r="M69" s="260"/>
      <c r="N69" s="260"/>
      <c r="O69" s="260"/>
      <c r="P69" s="261"/>
    </row>
    <row r="70" ht="14.65" customHeight="1" spans="1:16">
      <c r="A70" s="208"/>
      <c r="B70" s="240" t="s">
        <v>259</v>
      </c>
      <c r="C70" s="244">
        <f t="shared" si="3"/>
        <v>0</v>
      </c>
      <c r="D70" s="256"/>
      <c r="E70" s="256"/>
      <c r="F70" s="256"/>
      <c r="G70" s="256"/>
      <c r="H70" s="256"/>
      <c r="I70" s="208" t="s">
        <v>260</v>
      </c>
      <c r="J70" s="240" t="s">
        <v>261</v>
      </c>
      <c r="K70" s="244">
        <f t="shared" si="4"/>
        <v>0</v>
      </c>
      <c r="L70" s="260"/>
      <c r="M70" s="260"/>
      <c r="N70" s="260"/>
      <c r="O70" s="260"/>
      <c r="P70" s="261"/>
    </row>
    <row r="71" ht="14.65" customHeight="1" spans="1:16">
      <c r="A71" s="208"/>
      <c r="B71" s="240" t="s">
        <v>262</v>
      </c>
      <c r="C71" s="244">
        <f t="shared" si="3"/>
        <v>0</v>
      </c>
      <c r="D71" s="256"/>
      <c r="E71" s="256"/>
      <c r="F71" s="256"/>
      <c r="G71" s="256"/>
      <c r="H71" s="256"/>
      <c r="I71" s="208" t="s">
        <v>263</v>
      </c>
      <c r="J71" s="240" t="s">
        <v>264</v>
      </c>
      <c r="K71" s="244">
        <f t="shared" si="4"/>
        <v>0</v>
      </c>
      <c r="L71" s="260"/>
      <c r="M71" s="260"/>
      <c r="N71" s="260"/>
      <c r="O71" s="260"/>
      <c r="P71" s="261"/>
    </row>
    <row r="72" ht="14.65" customHeight="1" spans="1:16">
      <c r="A72" s="208"/>
      <c r="B72" s="240" t="s">
        <v>265</v>
      </c>
      <c r="C72" s="244">
        <f t="shared" si="3"/>
        <v>0</v>
      </c>
      <c r="D72" s="256"/>
      <c r="E72" s="256"/>
      <c r="F72" s="256"/>
      <c r="G72" s="256"/>
      <c r="H72" s="256"/>
      <c r="I72" s="208" t="s">
        <v>266</v>
      </c>
      <c r="J72" s="240" t="s">
        <v>267</v>
      </c>
      <c r="K72" s="244">
        <f t="shared" si="4"/>
        <v>3049044.521</v>
      </c>
      <c r="L72" s="260">
        <f>L152+利润表合并过程!L12</f>
        <v>778357.590000001</v>
      </c>
      <c r="M72" s="260">
        <f>M152+利润表合并过程!M12+222064.74</f>
        <v>3247533.521</v>
      </c>
      <c r="N72" s="260">
        <f>N152+利润表合并过程!N12</f>
        <v>-976846.59</v>
      </c>
      <c r="O72" s="260"/>
      <c r="P72" s="261"/>
    </row>
    <row r="73" ht="14.65" customHeight="1" spans="1:16">
      <c r="A73" s="208"/>
      <c r="B73" s="240" t="s">
        <v>268</v>
      </c>
      <c r="C73" s="244">
        <f t="shared" si="3"/>
        <v>0</v>
      </c>
      <c r="D73" s="256"/>
      <c r="E73" s="256"/>
      <c r="F73" s="256"/>
      <c r="G73" s="256"/>
      <c r="H73" s="256"/>
      <c r="I73" s="254" t="s">
        <v>269</v>
      </c>
      <c r="J73" s="240" t="s">
        <v>270</v>
      </c>
      <c r="K73" s="244">
        <f t="shared" si="4"/>
        <v>54356644.521</v>
      </c>
      <c r="L73" s="260">
        <f>L49+L60+L72</f>
        <v>52085957.59</v>
      </c>
      <c r="M73" s="260">
        <f>M72+M49</f>
        <v>4555133.521</v>
      </c>
      <c r="N73" s="260">
        <f>N72+N49</f>
        <v>2023153.41</v>
      </c>
      <c r="O73" s="260"/>
      <c r="P73" s="260">
        <f>P72+P49</f>
        <v>4307600</v>
      </c>
    </row>
    <row r="74" ht="14.65" customHeight="1" spans="1:16">
      <c r="A74" s="208"/>
      <c r="B74" s="240" t="s">
        <v>271</v>
      </c>
      <c r="C74" s="244">
        <f t="shared" si="3"/>
        <v>0</v>
      </c>
      <c r="D74" s="256"/>
      <c r="E74" s="256"/>
      <c r="F74" s="256"/>
      <c r="G74" s="256"/>
      <c r="H74" s="256"/>
      <c r="I74" s="208" t="s">
        <v>272</v>
      </c>
      <c r="J74" s="240" t="s">
        <v>273</v>
      </c>
      <c r="K74" s="244">
        <f t="shared" si="4"/>
        <v>0</v>
      </c>
      <c r="L74" s="260"/>
      <c r="M74" s="260"/>
      <c r="N74" s="260"/>
      <c r="O74" s="260"/>
      <c r="P74" s="261"/>
    </row>
    <row r="75" ht="14.65" customHeight="1" spans="1:16">
      <c r="A75" s="208"/>
      <c r="B75" s="240" t="s">
        <v>274</v>
      </c>
      <c r="C75" s="244">
        <f t="shared" si="3"/>
        <v>0</v>
      </c>
      <c r="D75" s="255"/>
      <c r="E75" s="255"/>
      <c r="F75" s="255"/>
      <c r="G75" s="255"/>
      <c r="H75" s="255"/>
      <c r="I75" s="254" t="s">
        <v>275</v>
      </c>
      <c r="J75" s="240" t="s">
        <v>276</v>
      </c>
      <c r="K75" s="244">
        <f t="shared" si="4"/>
        <v>54356644.521</v>
      </c>
      <c r="L75" s="260">
        <f>L73</f>
        <v>52085957.59</v>
      </c>
      <c r="M75" s="260">
        <f>M73</f>
        <v>4555133.521</v>
      </c>
      <c r="N75" s="260">
        <f>N73</f>
        <v>2023153.41</v>
      </c>
      <c r="O75" s="260"/>
      <c r="P75" s="260">
        <f>P73</f>
        <v>4307600</v>
      </c>
    </row>
    <row r="76" ht="14.65" customHeight="1" spans="1:16">
      <c r="A76" s="265" t="s">
        <v>277</v>
      </c>
      <c r="B76" s="266" t="s">
        <v>278</v>
      </c>
      <c r="C76" s="244">
        <f t="shared" si="3"/>
        <v>63485942.482</v>
      </c>
      <c r="D76" s="267">
        <f>D27+D54</f>
        <v>58724186.81</v>
      </c>
      <c r="E76" s="267">
        <f>E27+E54</f>
        <v>6786139.882</v>
      </c>
      <c r="F76" s="267">
        <f>F27+F54</f>
        <v>2283215.79</v>
      </c>
      <c r="G76" s="267">
        <f>G27+G54</f>
        <v>4307600</v>
      </c>
      <c r="H76" s="267">
        <f>H27+H54</f>
        <v>0</v>
      </c>
      <c r="I76" s="265" t="s">
        <v>279</v>
      </c>
      <c r="J76" s="266" t="s">
        <v>280</v>
      </c>
      <c r="K76" s="244">
        <f t="shared" si="4"/>
        <v>63485942.481</v>
      </c>
      <c r="L76" s="271">
        <f>L75+L47</f>
        <v>58724186.81</v>
      </c>
      <c r="M76" s="271">
        <f>M75+M47</f>
        <v>6786139.881</v>
      </c>
      <c r="N76" s="271">
        <f>N75+N47</f>
        <v>2283215.79</v>
      </c>
      <c r="O76" s="271"/>
      <c r="P76" s="271">
        <f>P75+P47</f>
        <v>4307600</v>
      </c>
    </row>
    <row r="77" ht="14.65" customHeight="1" spans="1:16">
      <c r="A77" s="268" t="s">
        <v>281</v>
      </c>
      <c r="B77" s="269"/>
      <c r="C77" s="270"/>
      <c r="D77" s="270"/>
      <c r="E77" s="270"/>
      <c r="F77" s="270"/>
      <c r="G77" s="270"/>
      <c r="H77" s="270"/>
      <c r="I77" s="272"/>
      <c r="J77" s="272"/>
      <c r="K77" s="270"/>
      <c r="L77" s="270"/>
      <c r="M77" s="270"/>
      <c r="N77" s="270"/>
      <c r="O77" s="270"/>
      <c r="P77" s="270"/>
    </row>
    <row r="79" spans="10:14">
      <c r="J79" s="273" t="s">
        <v>500</v>
      </c>
      <c r="K79" s="274">
        <f>C76-K76</f>
        <v>0.00100000202655792</v>
      </c>
      <c r="L79" s="239">
        <f>D76-L76</f>
        <v>0</v>
      </c>
      <c r="M79" s="239">
        <f>E76-M76</f>
        <v>0.00100000109523535</v>
      </c>
      <c r="N79" s="239">
        <f>F76-N76</f>
        <v>0</v>
      </c>
    </row>
    <row r="82" ht="18.95" customHeight="1" spans="1:16">
      <c r="A82" s="240" t="s">
        <v>3</v>
      </c>
      <c r="B82" s="240" t="s">
        <v>4</v>
      </c>
      <c r="C82" s="240" t="s">
        <v>491</v>
      </c>
      <c r="D82" s="240" t="s">
        <v>501</v>
      </c>
      <c r="E82" s="240" t="s">
        <v>502</v>
      </c>
      <c r="F82" s="240" t="s">
        <v>503</v>
      </c>
      <c r="G82" s="240" t="s">
        <v>495</v>
      </c>
      <c r="H82" s="240" t="s">
        <v>496</v>
      </c>
      <c r="I82" s="240" t="s">
        <v>3</v>
      </c>
      <c r="J82" s="240" t="s">
        <v>4</v>
      </c>
      <c r="K82" s="240" t="s">
        <v>491</v>
      </c>
      <c r="L82" s="257" t="s">
        <v>501</v>
      </c>
      <c r="M82" s="257" t="s">
        <v>502</v>
      </c>
      <c r="N82" s="257" t="s">
        <v>503</v>
      </c>
      <c r="O82" s="257" t="s">
        <v>495</v>
      </c>
      <c r="P82" s="257" t="s">
        <v>496</v>
      </c>
    </row>
    <row r="83" ht="13.5" spans="1:16">
      <c r="A83" s="241" t="s">
        <v>7</v>
      </c>
      <c r="B83" s="240" t="s">
        <v>8</v>
      </c>
      <c r="C83" s="242" t="s">
        <v>9</v>
      </c>
      <c r="D83" s="243"/>
      <c r="E83" s="243"/>
      <c r="F83" s="243"/>
      <c r="G83" s="243"/>
      <c r="H83" s="243"/>
      <c r="I83" s="241" t="s">
        <v>10</v>
      </c>
      <c r="J83" s="240" t="s">
        <v>11</v>
      </c>
      <c r="K83" s="242" t="s">
        <v>9</v>
      </c>
      <c r="L83" s="258"/>
      <c r="M83" s="258"/>
      <c r="N83" s="258"/>
      <c r="O83" s="258"/>
      <c r="P83" s="259" t="s">
        <v>9</v>
      </c>
    </row>
    <row r="84" ht="13.5" spans="1:16">
      <c r="A84" s="208" t="s">
        <v>12</v>
      </c>
      <c r="B84" s="240" t="s">
        <v>13</v>
      </c>
      <c r="C84" s="244">
        <f>D84+E84-G84+H84+F84</f>
        <v>6144611.23</v>
      </c>
      <c r="D84" s="245">
        <v>4134269.83</v>
      </c>
      <c r="E84" s="245">
        <v>2010341.4</v>
      </c>
      <c r="F84" s="245"/>
      <c r="G84" s="245"/>
      <c r="H84" s="245"/>
      <c r="I84" s="208" t="s">
        <v>14</v>
      </c>
      <c r="J84" s="240" t="s">
        <v>15</v>
      </c>
      <c r="K84" s="244">
        <f>L84+M84+O84-P84+N84</f>
        <v>0</v>
      </c>
      <c r="L84" s="260"/>
      <c r="M84" s="260"/>
      <c r="N84" s="260"/>
      <c r="O84" s="260"/>
      <c r="P84" s="261"/>
    </row>
    <row r="85" ht="13.5" spans="1:16">
      <c r="A85" s="208" t="s">
        <v>16</v>
      </c>
      <c r="B85" s="240" t="s">
        <v>17</v>
      </c>
      <c r="C85" s="244">
        <f t="shared" ref="C85:C116" si="5">D85+E85-G85+H85+F85</f>
        <v>0</v>
      </c>
      <c r="D85" s="245"/>
      <c r="E85" s="245"/>
      <c r="F85" s="245"/>
      <c r="G85" s="245"/>
      <c r="H85" s="245"/>
      <c r="I85" s="208" t="s">
        <v>18</v>
      </c>
      <c r="J85" s="240" t="s">
        <v>19</v>
      </c>
      <c r="K85" s="244">
        <f>L85+M85+O85-P85+N85</f>
        <v>0</v>
      </c>
      <c r="L85" s="260"/>
      <c r="M85" s="260"/>
      <c r="N85" s="260"/>
      <c r="O85" s="260"/>
      <c r="P85" s="261"/>
    </row>
    <row r="86" ht="13.5" spans="1:16">
      <c r="A86" s="208" t="s">
        <v>20</v>
      </c>
      <c r="B86" s="240" t="s">
        <v>21</v>
      </c>
      <c r="C86" s="244">
        <f t="shared" si="5"/>
        <v>0</v>
      </c>
      <c r="D86" s="246"/>
      <c r="E86" s="245"/>
      <c r="F86" s="245"/>
      <c r="G86" s="245"/>
      <c r="H86" s="245"/>
      <c r="I86" s="208" t="s">
        <v>22</v>
      </c>
      <c r="J86" s="240" t="s">
        <v>23</v>
      </c>
      <c r="K86" s="244">
        <f>L86+M86+O86-P86+N86</f>
        <v>0</v>
      </c>
      <c r="L86" s="260"/>
      <c r="M86" s="260"/>
      <c r="N86" s="260"/>
      <c r="O86" s="260"/>
      <c r="P86" s="261"/>
    </row>
    <row r="87" ht="13.5" spans="1:16">
      <c r="A87" s="208" t="s">
        <v>24</v>
      </c>
      <c r="B87" s="240" t="s">
        <v>25</v>
      </c>
      <c r="C87" s="244">
        <f t="shared" si="5"/>
        <v>46000000</v>
      </c>
      <c r="D87" s="245">
        <v>46000000</v>
      </c>
      <c r="E87" s="245"/>
      <c r="F87" s="245"/>
      <c r="G87" s="245"/>
      <c r="H87" s="245"/>
      <c r="I87" s="208" t="s">
        <v>26</v>
      </c>
      <c r="J87" s="240" t="s">
        <v>27</v>
      </c>
      <c r="K87" s="244">
        <f>L87+M87+O87-P87+N87</f>
        <v>0</v>
      </c>
      <c r="L87" s="260"/>
      <c r="M87" s="260"/>
      <c r="N87" s="260"/>
      <c r="O87" s="260"/>
      <c r="P87" s="261"/>
    </row>
    <row r="88" ht="13.5" spans="1:16">
      <c r="A88" s="208" t="s">
        <v>28</v>
      </c>
      <c r="B88" s="240" t="s">
        <v>29</v>
      </c>
      <c r="C88" s="244">
        <f t="shared" si="5"/>
        <v>0</v>
      </c>
      <c r="D88" s="245"/>
      <c r="E88" s="245"/>
      <c r="F88" s="245"/>
      <c r="G88" s="245"/>
      <c r="H88" s="245"/>
      <c r="I88" s="208" t="s">
        <v>30</v>
      </c>
      <c r="J88" s="240" t="s">
        <v>31</v>
      </c>
      <c r="K88" s="244">
        <f t="shared" ref="K88:K119" si="6">L88+M88+O88-P88+N88</f>
        <v>0</v>
      </c>
      <c r="L88" s="260"/>
      <c r="M88" s="260"/>
      <c r="N88" s="260"/>
      <c r="O88" s="260"/>
      <c r="P88" s="261"/>
    </row>
    <row r="89" ht="13.5" spans="1:16">
      <c r="A89" s="208" t="s">
        <v>32</v>
      </c>
      <c r="B89" s="240" t="s">
        <v>33</v>
      </c>
      <c r="C89" s="244">
        <f t="shared" si="5"/>
        <v>0</v>
      </c>
      <c r="D89" s="245"/>
      <c r="E89" s="245"/>
      <c r="F89" s="245"/>
      <c r="G89" s="245"/>
      <c r="H89" s="245"/>
      <c r="I89" s="208" t="s">
        <v>34</v>
      </c>
      <c r="J89" s="240" t="s">
        <v>35</v>
      </c>
      <c r="K89" s="244">
        <f t="shared" si="6"/>
        <v>0</v>
      </c>
      <c r="L89" s="260"/>
      <c r="M89" s="260"/>
      <c r="N89" s="260"/>
      <c r="O89" s="260"/>
      <c r="P89" s="261"/>
    </row>
    <row r="90" ht="13.5" spans="1:16">
      <c r="A90" s="208" t="s">
        <v>36</v>
      </c>
      <c r="B90" s="240" t="s">
        <v>37</v>
      </c>
      <c r="C90" s="244">
        <f t="shared" si="5"/>
        <v>0</v>
      </c>
      <c r="D90" s="245"/>
      <c r="E90" s="245"/>
      <c r="F90" s="245"/>
      <c r="G90" s="245"/>
      <c r="H90" s="245"/>
      <c r="I90" s="208" t="s">
        <v>38</v>
      </c>
      <c r="J90" s="240" t="s">
        <v>39</v>
      </c>
      <c r="K90" s="244">
        <f t="shared" si="6"/>
        <v>0</v>
      </c>
      <c r="L90" s="260"/>
      <c r="M90" s="260"/>
      <c r="N90" s="260"/>
      <c r="O90" s="260"/>
      <c r="P90" s="261"/>
    </row>
    <row r="91" ht="13.5" spans="1:16">
      <c r="A91" s="208" t="s">
        <v>40</v>
      </c>
      <c r="B91" s="240" t="s">
        <v>41</v>
      </c>
      <c r="C91" s="244">
        <f t="shared" si="5"/>
        <v>2779243.411</v>
      </c>
      <c r="D91" s="245"/>
      <c r="E91" s="248">
        <v>2779243.411</v>
      </c>
      <c r="F91" s="248"/>
      <c r="G91" s="245"/>
      <c r="H91" s="245"/>
      <c r="I91" s="208" t="s">
        <v>42</v>
      </c>
      <c r="J91" s="240" t="s">
        <v>43</v>
      </c>
      <c r="K91" s="244">
        <f t="shared" si="6"/>
        <v>87174.38</v>
      </c>
      <c r="L91" s="260">
        <v>25464</v>
      </c>
      <c r="M91" s="260">
        <v>61710.38</v>
      </c>
      <c r="N91" s="260"/>
      <c r="O91" s="260"/>
      <c r="P91" s="261"/>
    </row>
    <row r="92" ht="13.5" spans="1:16">
      <c r="A92" s="208" t="s">
        <v>44</v>
      </c>
      <c r="B92" s="240" t="s">
        <v>45</v>
      </c>
      <c r="C92" s="244">
        <f t="shared" si="5"/>
        <v>0</v>
      </c>
      <c r="D92" s="245"/>
      <c r="E92" s="245"/>
      <c r="F92" s="245"/>
      <c r="G92" s="245"/>
      <c r="H92" s="245"/>
      <c r="I92" s="208" t="s">
        <v>46</v>
      </c>
      <c r="J92" s="240" t="s">
        <v>47</v>
      </c>
      <c r="K92" s="244">
        <f t="shared" si="6"/>
        <v>593333.36</v>
      </c>
      <c r="L92" s="260"/>
      <c r="M92" s="260">
        <v>593333.36</v>
      </c>
      <c r="N92" s="260"/>
      <c r="O92" s="260"/>
      <c r="P92" s="261"/>
    </row>
    <row r="93" ht="13.5" spans="1:16">
      <c r="A93" s="208" t="s">
        <v>48</v>
      </c>
      <c r="B93" s="240" t="s">
        <v>49</v>
      </c>
      <c r="C93" s="244">
        <f t="shared" si="5"/>
        <v>33555.14</v>
      </c>
      <c r="D93" s="245"/>
      <c r="E93" s="245">
        <v>33555.14</v>
      </c>
      <c r="F93" s="245"/>
      <c r="G93" s="245"/>
      <c r="H93" s="245"/>
      <c r="I93" s="208" t="s">
        <v>50</v>
      </c>
      <c r="J93" s="240" t="s">
        <v>51</v>
      </c>
      <c r="K93" s="244">
        <f t="shared" si="6"/>
        <v>0</v>
      </c>
      <c r="L93" s="260"/>
      <c r="M93" s="260"/>
      <c r="N93" s="260"/>
      <c r="O93" s="260"/>
      <c r="P93" s="261"/>
    </row>
    <row r="94" ht="13.5" spans="1:16">
      <c r="A94" s="208" t="s">
        <v>52</v>
      </c>
      <c r="B94" s="240" t="s">
        <v>53</v>
      </c>
      <c r="C94" s="244">
        <f t="shared" si="5"/>
        <v>0</v>
      </c>
      <c r="D94" s="245"/>
      <c r="E94" s="245"/>
      <c r="F94" s="245"/>
      <c r="G94" s="245"/>
      <c r="H94" s="245"/>
      <c r="I94" s="208" t="s">
        <v>54</v>
      </c>
      <c r="J94" s="240" t="s">
        <v>55</v>
      </c>
      <c r="K94" s="244">
        <f t="shared" si="6"/>
        <v>0</v>
      </c>
      <c r="L94" s="260"/>
      <c r="M94" s="260"/>
      <c r="N94" s="260"/>
      <c r="O94" s="260"/>
      <c r="P94" s="261"/>
    </row>
    <row r="95" ht="13.5" spans="1:16">
      <c r="A95" s="208" t="s">
        <v>56</v>
      </c>
      <c r="B95" s="240" t="s">
        <v>57</v>
      </c>
      <c r="C95" s="244">
        <f t="shared" si="5"/>
        <v>0</v>
      </c>
      <c r="D95" s="245"/>
      <c r="E95" s="245"/>
      <c r="F95" s="245"/>
      <c r="G95" s="245"/>
      <c r="H95" s="245"/>
      <c r="I95" s="208" t="s">
        <v>58</v>
      </c>
      <c r="J95" s="240" t="s">
        <v>59</v>
      </c>
      <c r="K95" s="244">
        <f t="shared" si="6"/>
        <v>0</v>
      </c>
      <c r="L95" s="260"/>
      <c r="M95" s="260"/>
      <c r="N95" s="260"/>
      <c r="O95" s="260"/>
      <c r="P95" s="261"/>
    </row>
    <row r="96" ht="13.5" spans="1:16">
      <c r="A96" s="208" t="s">
        <v>60</v>
      </c>
      <c r="B96" s="240" t="s">
        <v>61</v>
      </c>
      <c r="C96" s="244">
        <f t="shared" si="5"/>
        <v>0</v>
      </c>
      <c r="D96" s="249"/>
      <c r="E96" s="245"/>
      <c r="F96" s="245"/>
      <c r="G96" s="245"/>
      <c r="H96" s="245"/>
      <c r="I96" s="208" t="s">
        <v>62</v>
      </c>
      <c r="J96" s="240" t="s">
        <v>63</v>
      </c>
      <c r="K96" s="244">
        <f t="shared" si="6"/>
        <v>0</v>
      </c>
      <c r="L96" s="260"/>
      <c r="M96" s="260"/>
      <c r="N96" s="260"/>
      <c r="O96" s="260"/>
      <c r="P96" s="261"/>
    </row>
    <row r="97" ht="13.5" spans="1:16">
      <c r="A97" s="208" t="s">
        <v>64</v>
      </c>
      <c r="B97" s="240" t="s">
        <v>65</v>
      </c>
      <c r="C97" s="244">
        <f t="shared" si="5"/>
        <v>4504.79</v>
      </c>
      <c r="D97" s="245">
        <v>243.6</v>
      </c>
      <c r="E97" s="245">
        <v>4261.19</v>
      </c>
      <c r="F97" s="245"/>
      <c r="G97" s="245"/>
      <c r="H97" s="245"/>
      <c r="I97" s="208" t="s">
        <v>66</v>
      </c>
      <c r="J97" s="240" t="s">
        <v>67</v>
      </c>
      <c r="K97" s="244">
        <f t="shared" si="6"/>
        <v>0</v>
      </c>
      <c r="L97" s="260"/>
      <c r="M97" s="260"/>
      <c r="N97" s="260"/>
      <c r="O97" s="260"/>
      <c r="P97" s="261"/>
    </row>
    <row r="98" ht="13.5" spans="1:16">
      <c r="A98" s="208" t="s">
        <v>68</v>
      </c>
      <c r="B98" s="240" t="s">
        <v>69</v>
      </c>
      <c r="C98" s="244">
        <f t="shared" si="5"/>
        <v>0</v>
      </c>
      <c r="D98" s="245"/>
      <c r="E98" s="245"/>
      <c r="F98" s="245"/>
      <c r="G98" s="245"/>
      <c r="H98" s="245"/>
      <c r="I98" s="208" t="s">
        <v>70</v>
      </c>
      <c r="J98" s="240" t="s">
        <v>71</v>
      </c>
      <c r="K98" s="244">
        <f t="shared" si="6"/>
        <v>2024157.79</v>
      </c>
      <c r="L98" s="260">
        <v>1040357.42</v>
      </c>
      <c r="M98" s="260">
        <v>983800.37</v>
      </c>
      <c r="N98" s="260"/>
      <c r="O98" s="260"/>
      <c r="P98" s="261"/>
    </row>
    <row r="99" ht="13.5" spans="1:16">
      <c r="A99" s="208" t="s">
        <v>72</v>
      </c>
      <c r="B99" s="240" t="s">
        <v>73</v>
      </c>
      <c r="C99" s="244">
        <f t="shared" si="5"/>
        <v>0</v>
      </c>
      <c r="D99" s="245"/>
      <c r="E99" s="245"/>
      <c r="F99" s="251"/>
      <c r="I99" s="208" t="s">
        <v>497</v>
      </c>
      <c r="J99" s="240" t="s">
        <v>75</v>
      </c>
      <c r="K99" s="244">
        <f t="shared" si="6"/>
        <v>1040093.42</v>
      </c>
      <c r="L99" s="260">
        <v>1040093.42</v>
      </c>
      <c r="M99" s="260"/>
      <c r="N99" s="260"/>
      <c r="O99" s="260"/>
      <c r="P99" s="261"/>
    </row>
    <row r="100" ht="13.5" spans="1:16">
      <c r="A100" s="208" t="s">
        <v>76</v>
      </c>
      <c r="B100" s="240" t="s">
        <v>77</v>
      </c>
      <c r="C100" s="244">
        <f t="shared" si="5"/>
        <v>0</v>
      </c>
      <c r="D100" s="245"/>
      <c r="E100" s="245"/>
      <c r="F100" s="245"/>
      <c r="G100" s="245"/>
      <c r="H100" s="245"/>
      <c r="I100" s="208" t="s">
        <v>498</v>
      </c>
      <c r="J100" s="240" t="s">
        <v>79</v>
      </c>
      <c r="K100" s="244">
        <f t="shared" si="6"/>
        <v>264</v>
      </c>
      <c r="L100" s="260">
        <v>264</v>
      </c>
      <c r="M100" s="260"/>
      <c r="N100" s="260"/>
      <c r="O100" s="260"/>
      <c r="P100" s="261"/>
    </row>
    <row r="101" ht="13.5" spans="1:16">
      <c r="A101" s="208" t="s">
        <v>80</v>
      </c>
      <c r="B101" s="240" t="s">
        <v>81</v>
      </c>
      <c r="C101" s="244">
        <f t="shared" si="5"/>
        <v>0</v>
      </c>
      <c r="D101" s="245"/>
      <c r="E101" s="245"/>
      <c r="F101" s="245"/>
      <c r="G101" s="245"/>
      <c r="H101" s="245"/>
      <c r="I101" s="208" t="s">
        <v>499</v>
      </c>
      <c r="J101" s="240" t="s">
        <v>83</v>
      </c>
      <c r="K101" s="244">
        <f t="shared" si="6"/>
        <v>0</v>
      </c>
      <c r="L101" s="260"/>
      <c r="M101" s="260"/>
      <c r="N101" s="260"/>
      <c r="O101" s="260"/>
      <c r="P101" s="261"/>
    </row>
    <row r="102" ht="13.5" spans="1:16">
      <c r="A102" s="208" t="s">
        <v>84</v>
      </c>
      <c r="B102" s="240" t="s">
        <v>85</v>
      </c>
      <c r="C102" s="244">
        <f t="shared" si="5"/>
        <v>0</v>
      </c>
      <c r="D102" s="245"/>
      <c r="E102" s="245"/>
      <c r="F102" s="245"/>
      <c r="G102" s="245"/>
      <c r="H102" s="245"/>
      <c r="I102" s="208" t="s">
        <v>86</v>
      </c>
      <c r="J102" s="240" t="s">
        <v>87</v>
      </c>
      <c r="K102" s="244">
        <f t="shared" si="6"/>
        <v>379558.33</v>
      </c>
      <c r="L102" s="260">
        <v>172584.13</v>
      </c>
      <c r="M102" s="260">
        <v>206974.2</v>
      </c>
      <c r="N102" s="260"/>
      <c r="O102" s="260"/>
      <c r="P102" s="261"/>
    </row>
    <row r="103" ht="13.5" spans="1:16">
      <c r="A103" s="208" t="s">
        <v>88</v>
      </c>
      <c r="B103" s="240" t="s">
        <v>89</v>
      </c>
      <c r="C103" s="244">
        <f t="shared" si="5"/>
        <v>0</v>
      </c>
      <c r="D103" s="245"/>
      <c r="E103" s="245"/>
      <c r="F103" s="245"/>
      <c r="G103" s="245"/>
      <c r="H103" s="245"/>
      <c r="I103" s="208" t="s">
        <v>90</v>
      </c>
      <c r="J103" s="240" t="s">
        <v>91</v>
      </c>
      <c r="K103" s="244">
        <f t="shared" si="6"/>
        <v>0</v>
      </c>
      <c r="L103" s="260"/>
      <c r="M103" s="260"/>
      <c r="N103" s="260"/>
      <c r="O103" s="260"/>
      <c r="P103" s="261"/>
    </row>
    <row r="104" ht="13.5" spans="1:16">
      <c r="A104" s="208" t="s">
        <v>92</v>
      </c>
      <c r="B104" s="240" t="s">
        <v>93</v>
      </c>
      <c r="C104" s="244">
        <f t="shared" si="5"/>
        <v>0</v>
      </c>
      <c r="D104" s="245"/>
      <c r="E104" s="245"/>
      <c r="F104" s="245"/>
      <c r="G104" s="245"/>
      <c r="H104" s="245"/>
      <c r="I104" s="208" t="s">
        <v>94</v>
      </c>
      <c r="J104" s="240" t="s">
        <v>95</v>
      </c>
      <c r="K104" s="244">
        <f t="shared" si="6"/>
        <v>614644.59</v>
      </c>
      <c r="L104" s="260">
        <v>257352.41</v>
      </c>
      <c r="M104" s="260">
        <v>357292.18</v>
      </c>
      <c r="N104" s="260"/>
      <c r="O104" s="260"/>
      <c r="P104" s="261"/>
    </row>
    <row r="105" ht="13.5" spans="1:16">
      <c r="A105" s="208" t="s">
        <v>96</v>
      </c>
      <c r="B105" s="240" t="s">
        <v>97</v>
      </c>
      <c r="C105" s="244">
        <f t="shared" si="5"/>
        <v>0</v>
      </c>
      <c r="D105" s="245"/>
      <c r="E105" s="245"/>
      <c r="F105" s="245"/>
      <c r="G105" s="245"/>
      <c r="H105" s="245"/>
      <c r="I105" s="208" t="s">
        <v>98</v>
      </c>
      <c r="J105" s="240" t="s">
        <v>99</v>
      </c>
      <c r="K105" s="244">
        <f t="shared" si="6"/>
        <v>0</v>
      </c>
      <c r="L105" s="260"/>
      <c r="M105" s="260"/>
      <c r="N105" s="260"/>
      <c r="O105" s="260"/>
      <c r="P105" s="261"/>
    </row>
    <row r="106" ht="13.5" spans="1:16">
      <c r="A106" s="208" t="s">
        <v>100</v>
      </c>
      <c r="B106" s="240" t="s">
        <v>101</v>
      </c>
      <c r="C106" s="244">
        <f t="shared" si="5"/>
        <v>0</v>
      </c>
      <c r="D106" s="245"/>
      <c r="E106" s="245"/>
      <c r="F106" s="245"/>
      <c r="G106" s="245"/>
      <c r="H106" s="245"/>
      <c r="I106" s="208" t="s">
        <v>102</v>
      </c>
      <c r="J106" s="240" t="s">
        <v>103</v>
      </c>
      <c r="K106" s="244">
        <f t="shared" si="6"/>
        <v>0</v>
      </c>
      <c r="L106" s="260"/>
      <c r="M106" s="260"/>
      <c r="N106" s="260"/>
      <c r="O106" s="260"/>
      <c r="P106" s="261"/>
    </row>
    <row r="107" ht="13.5" spans="1:16">
      <c r="A107" s="254" t="s">
        <v>104</v>
      </c>
      <c r="B107" s="240" t="s">
        <v>105</v>
      </c>
      <c r="C107" s="244">
        <f t="shared" si="5"/>
        <v>54961914.571</v>
      </c>
      <c r="D107" s="245">
        <f>D84+D87+D90+D91+D93+D97+D100+D103</f>
        <v>50134513.43</v>
      </c>
      <c r="E107" s="245">
        <f>E84+E87+E90+E91+E93+E97+E100+E103</f>
        <v>4827401.141</v>
      </c>
      <c r="F107" s="245"/>
      <c r="G107" s="245"/>
      <c r="H107" s="245"/>
      <c r="I107" s="208" t="s">
        <v>106</v>
      </c>
      <c r="J107" s="240" t="s">
        <v>107</v>
      </c>
      <c r="K107" s="244">
        <f t="shared" si="6"/>
        <v>0</v>
      </c>
      <c r="L107" s="260"/>
      <c r="M107" s="260"/>
      <c r="N107" s="260"/>
      <c r="O107" s="260"/>
      <c r="P107" s="261"/>
    </row>
    <row r="108" ht="13.5" spans="1:16">
      <c r="A108" s="241" t="s">
        <v>108</v>
      </c>
      <c r="B108" s="240" t="s">
        <v>109</v>
      </c>
      <c r="C108" s="244">
        <f t="shared" si="5"/>
        <v>0</v>
      </c>
      <c r="D108" s="255"/>
      <c r="E108" s="255"/>
      <c r="F108" s="255"/>
      <c r="G108" s="255"/>
      <c r="H108" s="255"/>
      <c r="I108" s="208" t="s">
        <v>110</v>
      </c>
      <c r="J108" s="240" t="s">
        <v>111</v>
      </c>
      <c r="K108" s="244">
        <f t="shared" si="6"/>
        <v>0</v>
      </c>
      <c r="L108" s="260"/>
      <c r="M108" s="260"/>
      <c r="N108" s="260"/>
      <c r="O108" s="260"/>
      <c r="P108" s="261"/>
    </row>
    <row r="109" ht="13.5" spans="1:16">
      <c r="A109" s="208" t="s">
        <v>112</v>
      </c>
      <c r="B109" s="240" t="s">
        <v>113</v>
      </c>
      <c r="C109" s="244">
        <f t="shared" si="5"/>
        <v>0</v>
      </c>
      <c r="D109" s="245"/>
      <c r="E109" s="245"/>
      <c r="F109" s="245"/>
      <c r="G109" s="245"/>
      <c r="H109" s="245"/>
      <c r="I109" s="208" t="s">
        <v>114</v>
      </c>
      <c r="J109" s="240" t="s">
        <v>115</v>
      </c>
      <c r="K109" s="244">
        <f t="shared" si="6"/>
        <v>0</v>
      </c>
      <c r="L109" s="260"/>
      <c r="M109" s="260"/>
      <c r="N109" s="260"/>
      <c r="O109" s="260"/>
      <c r="P109" s="261"/>
    </row>
    <row r="110" ht="13.5" spans="1:16">
      <c r="A110" s="208" t="s">
        <v>116</v>
      </c>
      <c r="B110" s="240" t="s">
        <v>117</v>
      </c>
      <c r="C110" s="244">
        <f t="shared" si="5"/>
        <v>0</v>
      </c>
      <c r="D110" s="245"/>
      <c r="E110" s="245"/>
      <c r="F110" s="245"/>
      <c r="G110" s="245"/>
      <c r="H110" s="245"/>
      <c r="I110" s="208" t="s">
        <v>118</v>
      </c>
      <c r="J110" s="240" t="s">
        <v>119</v>
      </c>
      <c r="K110" s="244">
        <f t="shared" si="6"/>
        <v>0</v>
      </c>
      <c r="L110" s="260"/>
      <c r="M110" s="260"/>
      <c r="N110" s="260"/>
      <c r="O110" s="260"/>
      <c r="P110" s="261"/>
    </row>
    <row r="111" ht="13.5" spans="1:16">
      <c r="A111" s="208" t="s">
        <v>120</v>
      </c>
      <c r="B111" s="240" t="s">
        <v>121</v>
      </c>
      <c r="C111" s="244">
        <f t="shared" si="5"/>
        <v>0</v>
      </c>
      <c r="D111" s="245"/>
      <c r="E111" s="245"/>
      <c r="F111" s="245"/>
      <c r="G111" s="245"/>
      <c r="H111" s="245"/>
      <c r="I111" s="254" t="s">
        <v>122</v>
      </c>
      <c r="J111" s="240" t="s">
        <v>123</v>
      </c>
      <c r="K111" s="244">
        <f t="shared" si="6"/>
        <v>3698868.45</v>
      </c>
      <c r="L111" s="260">
        <v>1495757.96</v>
      </c>
      <c r="M111" s="260">
        <v>2203110.49</v>
      </c>
      <c r="N111" s="260"/>
      <c r="O111" s="260"/>
      <c r="P111" s="261"/>
    </row>
    <row r="112" ht="13.5" spans="1:16">
      <c r="A112" s="208" t="s">
        <v>124</v>
      </c>
      <c r="B112" s="240" t="s">
        <v>125</v>
      </c>
      <c r="C112" s="244">
        <f t="shared" si="5"/>
        <v>0</v>
      </c>
      <c r="D112" s="245"/>
      <c r="E112" s="245"/>
      <c r="F112" s="245"/>
      <c r="G112" s="245"/>
      <c r="H112" s="245"/>
      <c r="I112" s="241" t="s">
        <v>126</v>
      </c>
      <c r="J112" s="240" t="s">
        <v>127</v>
      </c>
      <c r="K112" s="244">
        <f t="shared" si="6"/>
        <v>0</v>
      </c>
      <c r="L112" s="263"/>
      <c r="M112" s="263"/>
      <c r="N112" s="263"/>
      <c r="O112" s="263"/>
      <c r="P112" s="264"/>
    </row>
    <row r="113" ht="13.5" spans="1:16">
      <c r="A113" s="208" t="s">
        <v>128</v>
      </c>
      <c r="B113" s="240" t="s">
        <v>129</v>
      </c>
      <c r="C113" s="244">
        <f t="shared" si="5"/>
        <v>0</v>
      </c>
      <c r="D113" s="245"/>
      <c r="E113" s="245"/>
      <c r="F113" s="245"/>
      <c r="G113" s="245"/>
      <c r="H113" s="245"/>
      <c r="I113" s="208" t="s">
        <v>130</v>
      </c>
      <c r="J113" s="240" t="s">
        <v>131</v>
      </c>
      <c r="K113" s="244">
        <f t="shared" si="6"/>
        <v>0</v>
      </c>
      <c r="L113" s="260"/>
      <c r="M113" s="260"/>
      <c r="N113" s="260"/>
      <c r="O113" s="260"/>
      <c r="P113" s="261"/>
    </row>
    <row r="114" ht="13.5" spans="1:16">
      <c r="A114" s="208" t="s">
        <v>132</v>
      </c>
      <c r="B114" s="240" t="s">
        <v>133</v>
      </c>
      <c r="C114" s="244">
        <f t="shared" si="5"/>
        <v>0</v>
      </c>
      <c r="D114" s="245"/>
      <c r="E114" s="245"/>
      <c r="F114" s="245"/>
      <c r="G114" s="245"/>
      <c r="H114" s="245"/>
      <c r="I114" s="208" t="s">
        <v>134</v>
      </c>
      <c r="J114" s="240" t="s">
        <v>135</v>
      </c>
      <c r="K114" s="244">
        <f t="shared" si="6"/>
        <v>0</v>
      </c>
      <c r="L114" s="260"/>
      <c r="M114" s="260"/>
      <c r="N114" s="260"/>
      <c r="O114" s="260"/>
      <c r="P114" s="261"/>
    </row>
    <row r="115" ht="13.5" spans="1:16">
      <c r="A115" s="208" t="s">
        <v>136</v>
      </c>
      <c r="B115" s="240" t="s">
        <v>137</v>
      </c>
      <c r="C115" s="244">
        <f t="shared" si="5"/>
        <v>1000000</v>
      </c>
      <c r="D115" s="245">
        <v>2307600</v>
      </c>
      <c r="E115" s="245"/>
      <c r="F115" s="245"/>
      <c r="G115" s="245">
        <v>1307600</v>
      </c>
      <c r="H115" s="245"/>
      <c r="I115" s="208" t="s">
        <v>138</v>
      </c>
      <c r="J115" s="240" t="s">
        <v>139</v>
      </c>
      <c r="K115" s="244">
        <f t="shared" si="6"/>
        <v>0</v>
      </c>
      <c r="L115" s="260"/>
      <c r="M115" s="260"/>
      <c r="N115" s="260"/>
      <c r="O115" s="260"/>
      <c r="P115" s="261"/>
    </row>
    <row r="116" ht="13.5" spans="1:16">
      <c r="A116" s="208" t="s">
        <v>140</v>
      </c>
      <c r="B116" s="240" t="s">
        <v>141</v>
      </c>
      <c r="C116" s="244">
        <f t="shared" si="5"/>
        <v>0</v>
      </c>
      <c r="D116" s="245"/>
      <c r="E116" s="245"/>
      <c r="F116" s="245"/>
      <c r="G116" s="245"/>
      <c r="H116" s="245"/>
      <c r="I116" s="208" t="s">
        <v>142</v>
      </c>
      <c r="J116" s="240" t="s">
        <v>143</v>
      </c>
      <c r="K116" s="244">
        <f t="shared" si="6"/>
        <v>0</v>
      </c>
      <c r="L116" s="260"/>
      <c r="M116" s="260"/>
      <c r="N116" s="260"/>
      <c r="O116" s="260"/>
      <c r="P116" s="261"/>
    </row>
    <row r="117" ht="13.5" spans="1:16">
      <c r="A117" s="208" t="s">
        <v>144</v>
      </c>
      <c r="B117" s="240" t="s">
        <v>145</v>
      </c>
      <c r="C117" s="244">
        <f t="shared" ref="C117:C156" si="7">D117+E117-G117+H117+F117</f>
        <v>0</v>
      </c>
      <c r="D117" s="245"/>
      <c r="E117" s="245"/>
      <c r="F117" s="245"/>
      <c r="G117" s="245"/>
      <c r="H117" s="245"/>
      <c r="I117" s="208" t="s">
        <v>146</v>
      </c>
      <c r="J117" s="240" t="s">
        <v>147</v>
      </c>
      <c r="K117" s="244">
        <f t="shared" si="6"/>
        <v>0</v>
      </c>
      <c r="L117" s="260"/>
      <c r="M117" s="260"/>
      <c r="N117" s="260"/>
      <c r="O117" s="260"/>
      <c r="P117" s="261"/>
    </row>
    <row r="118" ht="13.5" spans="1:16">
      <c r="A118" s="208" t="s">
        <v>148</v>
      </c>
      <c r="B118" s="240" t="s">
        <v>149</v>
      </c>
      <c r="C118" s="244">
        <f t="shared" si="7"/>
        <v>0</v>
      </c>
      <c r="D118" s="245"/>
      <c r="E118" s="245"/>
      <c r="F118" s="245"/>
      <c r="G118" s="245"/>
      <c r="H118" s="245"/>
      <c r="I118" s="208" t="s">
        <v>150</v>
      </c>
      <c r="J118" s="240" t="s">
        <v>151</v>
      </c>
      <c r="K118" s="244">
        <f t="shared" si="6"/>
        <v>0</v>
      </c>
      <c r="L118" s="260"/>
      <c r="M118" s="260"/>
      <c r="N118" s="260"/>
      <c r="O118" s="260"/>
      <c r="P118" s="261"/>
    </row>
    <row r="119" ht="13.5" spans="1:16">
      <c r="A119" s="208" t="s">
        <v>152</v>
      </c>
      <c r="B119" s="240" t="s">
        <v>153</v>
      </c>
      <c r="C119" s="244">
        <f t="shared" si="7"/>
        <v>917364.24</v>
      </c>
      <c r="D119" s="245">
        <f>D120-D121-D122</f>
        <v>2350</v>
      </c>
      <c r="E119" s="245">
        <f>E120-E121-E122</f>
        <v>915014.24</v>
      </c>
      <c r="F119" s="245"/>
      <c r="G119" s="245"/>
      <c r="H119" s="245"/>
      <c r="I119" s="208" t="s">
        <v>154</v>
      </c>
      <c r="J119" s="240" t="s">
        <v>155</v>
      </c>
      <c r="K119" s="244">
        <f t="shared" si="6"/>
        <v>0</v>
      </c>
      <c r="L119" s="260"/>
      <c r="M119" s="260"/>
      <c r="N119" s="260"/>
      <c r="O119" s="260"/>
      <c r="P119" s="261"/>
    </row>
    <row r="120" ht="13.5" spans="1:16">
      <c r="A120" s="208" t="s">
        <v>156</v>
      </c>
      <c r="B120" s="240" t="s">
        <v>157</v>
      </c>
      <c r="C120" s="244">
        <f t="shared" si="7"/>
        <v>1304996.64</v>
      </c>
      <c r="D120" s="245">
        <v>2350</v>
      </c>
      <c r="E120" s="245">
        <v>1302646.64</v>
      </c>
      <c r="F120" s="245"/>
      <c r="G120" s="245"/>
      <c r="H120" s="245"/>
      <c r="I120" s="208" t="s">
        <v>158</v>
      </c>
      <c r="J120" s="240" t="s">
        <v>159</v>
      </c>
      <c r="K120" s="244">
        <f t="shared" ref="K120:K156" si="8">L120+M120+O120-P120+N120</f>
        <v>0</v>
      </c>
      <c r="L120" s="260"/>
      <c r="M120" s="260"/>
      <c r="N120" s="260"/>
      <c r="O120" s="260"/>
      <c r="P120" s="261"/>
    </row>
    <row r="121" ht="13.5" spans="1:16">
      <c r="A121" s="208" t="s">
        <v>160</v>
      </c>
      <c r="B121" s="240" t="s">
        <v>161</v>
      </c>
      <c r="C121" s="244">
        <f t="shared" si="7"/>
        <v>387632.4</v>
      </c>
      <c r="D121" s="245"/>
      <c r="E121" s="245">
        <v>387632.4</v>
      </c>
      <c r="F121" s="245"/>
      <c r="G121" s="245"/>
      <c r="H121" s="245"/>
      <c r="I121" s="208" t="s">
        <v>162</v>
      </c>
      <c r="J121" s="240" t="s">
        <v>163</v>
      </c>
      <c r="K121" s="244">
        <f t="shared" si="8"/>
        <v>0</v>
      </c>
      <c r="L121" s="260"/>
      <c r="M121" s="260"/>
      <c r="N121" s="260"/>
      <c r="O121" s="260"/>
      <c r="P121" s="261"/>
    </row>
    <row r="122" ht="13.5" spans="1:16">
      <c r="A122" s="208" t="s">
        <v>164</v>
      </c>
      <c r="B122" s="240" t="s">
        <v>165</v>
      </c>
      <c r="C122" s="244">
        <f t="shared" si="7"/>
        <v>0</v>
      </c>
      <c r="D122" s="245"/>
      <c r="E122" s="245"/>
      <c r="F122" s="245"/>
      <c r="G122" s="245"/>
      <c r="H122" s="245"/>
      <c r="I122" s="208" t="s">
        <v>166</v>
      </c>
      <c r="J122" s="240" t="s">
        <v>167</v>
      </c>
      <c r="K122" s="244">
        <f t="shared" si="8"/>
        <v>0</v>
      </c>
      <c r="L122" s="260"/>
      <c r="M122" s="260"/>
      <c r="N122" s="260"/>
      <c r="O122" s="260"/>
      <c r="P122" s="261"/>
    </row>
    <row r="123" ht="13.5" spans="1:16">
      <c r="A123" s="208" t="s">
        <v>168</v>
      </c>
      <c r="B123" s="240" t="s">
        <v>169</v>
      </c>
      <c r="C123" s="244">
        <f t="shared" si="7"/>
        <v>0</v>
      </c>
      <c r="D123" s="245"/>
      <c r="E123" s="245"/>
      <c r="F123" s="245"/>
      <c r="G123" s="245"/>
      <c r="H123" s="245"/>
      <c r="I123" s="208" t="s">
        <v>170</v>
      </c>
      <c r="J123" s="240" t="s">
        <v>171</v>
      </c>
      <c r="K123" s="244">
        <f t="shared" si="8"/>
        <v>0</v>
      </c>
      <c r="L123" s="260"/>
      <c r="M123" s="260"/>
      <c r="N123" s="260"/>
      <c r="O123" s="260"/>
      <c r="P123" s="261"/>
    </row>
    <row r="124" ht="13.5" spans="1:16">
      <c r="A124" s="208" t="s">
        <v>172</v>
      </c>
      <c r="B124" s="240" t="s">
        <v>173</v>
      </c>
      <c r="C124" s="244">
        <f t="shared" si="7"/>
        <v>0</v>
      </c>
      <c r="D124" s="245"/>
      <c r="E124" s="245"/>
      <c r="F124" s="245"/>
      <c r="G124" s="245"/>
      <c r="H124" s="245"/>
      <c r="I124" s="208" t="s">
        <v>174</v>
      </c>
      <c r="J124" s="240" t="s">
        <v>175</v>
      </c>
      <c r="K124" s="244">
        <f t="shared" si="8"/>
        <v>846318.02</v>
      </c>
      <c r="L124" s="260"/>
      <c r="M124" s="260">
        <v>846318.02</v>
      </c>
      <c r="N124" s="260"/>
      <c r="O124" s="260"/>
      <c r="P124" s="261"/>
    </row>
    <row r="125" ht="13.5" spans="1:16">
      <c r="A125" s="208" t="s">
        <v>176</v>
      </c>
      <c r="B125" s="240" t="s">
        <v>177</v>
      </c>
      <c r="C125" s="244">
        <f t="shared" si="7"/>
        <v>0</v>
      </c>
      <c r="D125" s="245"/>
      <c r="E125" s="245"/>
      <c r="F125" s="245"/>
      <c r="G125" s="245"/>
      <c r="H125" s="245"/>
      <c r="I125" s="208" t="s">
        <v>178</v>
      </c>
      <c r="J125" s="240" t="s">
        <v>179</v>
      </c>
      <c r="K125" s="244">
        <f t="shared" si="8"/>
        <v>0</v>
      </c>
      <c r="L125" s="260"/>
      <c r="M125" s="260"/>
      <c r="N125" s="260"/>
      <c r="O125" s="260"/>
      <c r="P125" s="261"/>
    </row>
    <row r="126" ht="13.5" spans="1:16">
      <c r="A126" s="208" t="s">
        <v>180</v>
      </c>
      <c r="B126" s="240" t="s">
        <v>181</v>
      </c>
      <c r="C126" s="244">
        <f t="shared" si="7"/>
        <v>0</v>
      </c>
      <c r="D126" s="245"/>
      <c r="E126" s="245"/>
      <c r="F126" s="245"/>
      <c r="G126" s="245"/>
      <c r="H126" s="245"/>
      <c r="I126" s="254" t="s">
        <v>182</v>
      </c>
      <c r="J126" s="240" t="s">
        <v>183</v>
      </c>
      <c r="K126" s="244">
        <f t="shared" si="8"/>
        <v>846318.02</v>
      </c>
      <c r="L126" s="260"/>
      <c r="M126" s="260">
        <v>846318.02</v>
      </c>
      <c r="N126" s="260"/>
      <c r="O126" s="260"/>
      <c r="P126" s="261"/>
    </row>
    <row r="127" ht="13.5" spans="1:16">
      <c r="A127" s="208" t="s">
        <v>184</v>
      </c>
      <c r="B127" s="240" t="s">
        <v>185</v>
      </c>
      <c r="C127" s="244">
        <f t="shared" si="7"/>
        <v>0</v>
      </c>
      <c r="D127" s="245"/>
      <c r="E127" s="245"/>
      <c r="F127" s="245"/>
      <c r="G127" s="245"/>
      <c r="H127" s="245"/>
      <c r="I127" s="254" t="s">
        <v>186</v>
      </c>
      <c r="J127" s="240" t="s">
        <v>187</v>
      </c>
      <c r="K127" s="244">
        <f t="shared" si="8"/>
        <v>4545186.47</v>
      </c>
      <c r="L127" s="260">
        <v>1495757.96</v>
      </c>
      <c r="M127" s="260">
        <v>3049428.51</v>
      </c>
      <c r="N127" s="260"/>
      <c r="O127" s="260"/>
      <c r="P127" s="261"/>
    </row>
    <row r="128" ht="13.5" spans="1:16">
      <c r="A128" s="208" t="s">
        <v>188</v>
      </c>
      <c r="B128" s="240" t="s">
        <v>189</v>
      </c>
      <c r="C128" s="244">
        <f t="shared" si="7"/>
        <v>0</v>
      </c>
      <c r="D128" s="245"/>
      <c r="E128" s="245"/>
      <c r="F128" s="245"/>
      <c r="G128" s="245"/>
      <c r="H128" s="245"/>
      <c r="I128" s="241" t="s">
        <v>190</v>
      </c>
      <c r="J128" s="240" t="s">
        <v>191</v>
      </c>
      <c r="K128" s="244">
        <f t="shared" si="8"/>
        <v>0</v>
      </c>
      <c r="L128" s="263"/>
      <c r="M128" s="263"/>
      <c r="N128" s="263"/>
      <c r="O128" s="263"/>
      <c r="P128" s="264"/>
    </row>
    <row r="129" ht="13.5" spans="1:16">
      <c r="A129" s="208" t="s">
        <v>192</v>
      </c>
      <c r="B129" s="240" t="s">
        <v>193</v>
      </c>
      <c r="C129" s="244">
        <f t="shared" si="7"/>
        <v>0</v>
      </c>
      <c r="D129" s="245"/>
      <c r="E129" s="245"/>
      <c r="F129" s="245"/>
      <c r="G129" s="245"/>
      <c r="H129" s="245"/>
      <c r="I129" s="208" t="s">
        <v>194</v>
      </c>
      <c r="J129" s="240" t="s">
        <v>195</v>
      </c>
      <c r="K129" s="244">
        <f t="shared" si="8"/>
        <v>50000000</v>
      </c>
      <c r="L129" s="260">
        <v>50000000</v>
      </c>
      <c r="M129" s="260">
        <v>1307600</v>
      </c>
      <c r="N129" s="260"/>
      <c r="O129" s="260"/>
      <c r="P129" s="261">
        <v>1307600</v>
      </c>
    </row>
    <row r="130" ht="13.5" spans="1:16">
      <c r="A130" s="208" t="s">
        <v>196</v>
      </c>
      <c r="B130" s="240" t="s">
        <v>197</v>
      </c>
      <c r="C130" s="244">
        <f t="shared" si="7"/>
        <v>0</v>
      </c>
      <c r="D130" s="245"/>
      <c r="E130" s="245"/>
      <c r="F130" s="245"/>
      <c r="G130" s="245"/>
      <c r="H130" s="245"/>
      <c r="I130" s="208" t="s">
        <v>198</v>
      </c>
      <c r="J130" s="240" t="s">
        <v>199</v>
      </c>
      <c r="K130" s="244">
        <f t="shared" si="8"/>
        <v>0</v>
      </c>
      <c r="L130" s="260"/>
      <c r="M130" s="260"/>
      <c r="N130" s="260"/>
      <c r="O130" s="260"/>
      <c r="P130" s="261"/>
    </row>
    <row r="131" ht="13.5" spans="1:16">
      <c r="A131" s="208" t="s">
        <v>200</v>
      </c>
      <c r="B131" s="240" t="s">
        <v>201</v>
      </c>
      <c r="C131" s="244">
        <f t="shared" si="7"/>
        <v>0</v>
      </c>
      <c r="D131" s="245"/>
      <c r="E131" s="245"/>
      <c r="F131" s="245"/>
      <c r="G131" s="245"/>
      <c r="H131" s="245"/>
      <c r="I131" s="208" t="s">
        <v>202</v>
      </c>
      <c r="J131" s="240" t="s">
        <v>203</v>
      </c>
      <c r="K131" s="244">
        <f t="shared" si="8"/>
        <v>50000000</v>
      </c>
      <c r="L131" s="260">
        <v>50000000</v>
      </c>
      <c r="M131" s="260">
        <v>1307600</v>
      </c>
      <c r="N131" s="260"/>
      <c r="O131" s="260"/>
      <c r="P131" s="261">
        <v>1307600</v>
      </c>
    </row>
    <row r="132" ht="13.5" spans="1:16">
      <c r="A132" s="208" t="s">
        <v>204</v>
      </c>
      <c r="B132" s="240" t="s">
        <v>205</v>
      </c>
      <c r="C132" s="244">
        <f t="shared" si="7"/>
        <v>0</v>
      </c>
      <c r="D132" s="245"/>
      <c r="E132" s="245"/>
      <c r="F132" s="245"/>
      <c r="G132" s="245"/>
      <c r="H132" s="245"/>
      <c r="I132" s="208" t="s">
        <v>206</v>
      </c>
      <c r="J132" s="240" t="s">
        <v>207</v>
      </c>
      <c r="K132" s="244">
        <f t="shared" si="8"/>
        <v>0</v>
      </c>
      <c r="L132" s="260"/>
      <c r="M132" s="260"/>
      <c r="N132" s="260"/>
      <c r="O132" s="260"/>
      <c r="P132" s="261"/>
    </row>
    <row r="133" ht="13.5" spans="1:16">
      <c r="A133" s="208" t="s">
        <v>208</v>
      </c>
      <c r="B133" s="240" t="s">
        <v>209</v>
      </c>
      <c r="C133" s="244">
        <f t="shared" si="7"/>
        <v>0</v>
      </c>
      <c r="D133" s="245"/>
      <c r="E133" s="245"/>
      <c r="F133" s="245"/>
      <c r="G133" s="245"/>
      <c r="H133" s="245"/>
      <c r="I133" s="208" t="s">
        <v>210</v>
      </c>
      <c r="J133" s="240" t="s">
        <v>211</v>
      </c>
      <c r="K133" s="244">
        <f t="shared" si="8"/>
        <v>0</v>
      </c>
      <c r="L133" s="260"/>
      <c r="M133" s="260"/>
      <c r="N133" s="260"/>
      <c r="O133" s="260"/>
      <c r="P133" s="261"/>
    </row>
    <row r="134" ht="13.5" spans="1:16">
      <c r="A134" s="254" t="s">
        <v>212</v>
      </c>
      <c r="B134" s="240" t="s">
        <v>213</v>
      </c>
      <c r="C134" s="244">
        <f t="shared" si="7"/>
        <v>1917364.24</v>
      </c>
      <c r="D134" s="245">
        <f>D115+D119</f>
        <v>2309950</v>
      </c>
      <c r="E134" s="245">
        <f>E115+E119</f>
        <v>915014.24</v>
      </c>
      <c r="F134" s="245"/>
      <c r="G134" s="245">
        <v>1307600</v>
      </c>
      <c r="H134" s="245"/>
      <c r="I134" s="208" t="s">
        <v>214</v>
      </c>
      <c r="J134" s="240" t="s">
        <v>215</v>
      </c>
      <c r="K134" s="244">
        <f t="shared" si="8"/>
        <v>0</v>
      </c>
      <c r="L134" s="260"/>
      <c r="M134" s="260"/>
      <c r="N134" s="260"/>
      <c r="O134" s="260"/>
      <c r="P134" s="261"/>
    </row>
    <row r="135" ht="13.5" spans="1:16">
      <c r="A135" s="208"/>
      <c r="B135" s="240" t="s">
        <v>216</v>
      </c>
      <c r="C135" s="244">
        <f t="shared" si="7"/>
        <v>0</v>
      </c>
      <c r="D135" s="256"/>
      <c r="E135" s="256"/>
      <c r="F135" s="256"/>
      <c r="G135" s="256"/>
      <c r="H135" s="256"/>
      <c r="I135" s="208" t="s">
        <v>217</v>
      </c>
      <c r="J135" s="240" t="s">
        <v>218</v>
      </c>
      <c r="K135" s="244">
        <f t="shared" si="8"/>
        <v>0</v>
      </c>
      <c r="L135" s="260"/>
      <c r="M135" s="260"/>
      <c r="N135" s="260"/>
      <c r="O135" s="260"/>
      <c r="P135" s="261"/>
    </row>
    <row r="136" ht="13.5" spans="1:16">
      <c r="A136" s="208"/>
      <c r="B136" s="240" t="s">
        <v>219</v>
      </c>
      <c r="C136" s="244">
        <f t="shared" si="7"/>
        <v>0</v>
      </c>
      <c r="D136" s="256"/>
      <c r="E136" s="256"/>
      <c r="F136" s="256"/>
      <c r="G136" s="256"/>
      <c r="H136" s="256"/>
      <c r="I136" s="208" t="s">
        <v>220</v>
      </c>
      <c r="J136" s="240" t="s">
        <v>221</v>
      </c>
      <c r="K136" s="244">
        <f t="shared" si="8"/>
        <v>50000000</v>
      </c>
      <c r="L136" s="260">
        <v>50000000</v>
      </c>
      <c r="M136" s="260">
        <v>1307600</v>
      </c>
      <c r="N136" s="260"/>
      <c r="O136" s="260"/>
      <c r="P136" s="261">
        <v>1307600</v>
      </c>
    </row>
    <row r="137" ht="13.5" spans="1:16">
      <c r="A137" s="208"/>
      <c r="B137" s="240" t="s">
        <v>222</v>
      </c>
      <c r="C137" s="244">
        <f t="shared" si="7"/>
        <v>0</v>
      </c>
      <c r="D137" s="256"/>
      <c r="E137" s="256"/>
      <c r="F137" s="256"/>
      <c r="G137" s="256"/>
      <c r="H137" s="256"/>
      <c r="I137" s="208" t="s">
        <v>223</v>
      </c>
      <c r="J137" s="240" t="s">
        <v>224</v>
      </c>
      <c r="K137" s="244">
        <f t="shared" si="8"/>
        <v>0</v>
      </c>
      <c r="L137" s="260"/>
      <c r="M137" s="260"/>
      <c r="N137" s="260"/>
      <c r="O137" s="260"/>
      <c r="P137" s="261"/>
    </row>
    <row r="138" ht="13.5" spans="1:16">
      <c r="A138" s="208"/>
      <c r="B138" s="240" t="s">
        <v>225</v>
      </c>
      <c r="C138" s="244">
        <f t="shared" si="7"/>
        <v>0</v>
      </c>
      <c r="D138" s="256"/>
      <c r="E138" s="256"/>
      <c r="F138" s="256"/>
      <c r="G138" s="256"/>
      <c r="H138" s="256"/>
      <c r="I138" s="208" t="s">
        <v>142</v>
      </c>
      <c r="J138" s="240" t="s">
        <v>226</v>
      </c>
      <c r="K138" s="244">
        <f t="shared" si="8"/>
        <v>0</v>
      </c>
      <c r="L138" s="260"/>
      <c r="M138" s="260"/>
      <c r="N138" s="260"/>
      <c r="O138" s="260"/>
      <c r="P138" s="261"/>
    </row>
    <row r="139" ht="13.5" spans="1:16">
      <c r="A139" s="208"/>
      <c r="B139" s="240" t="s">
        <v>227</v>
      </c>
      <c r="C139" s="244">
        <f t="shared" si="7"/>
        <v>0</v>
      </c>
      <c r="D139" s="256"/>
      <c r="E139" s="256"/>
      <c r="F139" s="256"/>
      <c r="G139" s="256"/>
      <c r="H139" s="256"/>
      <c r="I139" s="208" t="s">
        <v>146</v>
      </c>
      <c r="J139" s="240" t="s">
        <v>228</v>
      </c>
      <c r="K139" s="244">
        <f t="shared" si="8"/>
        <v>0</v>
      </c>
      <c r="L139" s="260"/>
      <c r="M139" s="260"/>
      <c r="N139" s="260"/>
      <c r="O139" s="260"/>
      <c r="P139" s="261"/>
    </row>
    <row r="140" ht="13.5" spans="1:16">
      <c r="A140" s="208"/>
      <c r="B140" s="240" t="s">
        <v>229</v>
      </c>
      <c r="C140" s="244">
        <f t="shared" si="7"/>
        <v>0</v>
      </c>
      <c r="D140" s="256"/>
      <c r="E140" s="256"/>
      <c r="F140" s="256"/>
      <c r="G140" s="256"/>
      <c r="H140" s="256"/>
      <c r="I140" s="208" t="s">
        <v>230</v>
      </c>
      <c r="J140" s="240" t="s">
        <v>231</v>
      </c>
      <c r="K140" s="244">
        <f t="shared" si="8"/>
        <v>1307600</v>
      </c>
      <c r="L140" s="260">
        <v>1307600</v>
      </c>
      <c r="M140" s="260"/>
      <c r="N140" s="260"/>
      <c r="O140" s="260"/>
      <c r="P140" s="261"/>
    </row>
    <row r="141" ht="13.5" spans="1:16">
      <c r="A141" s="208"/>
      <c r="B141" s="240" t="s">
        <v>232</v>
      </c>
      <c r="C141" s="244">
        <f t="shared" si="7"/>
        <v>0</v>
      </c>
      <c r="D141" s="256"/>
      <c r="E141" s="256"/>
      <c r="F141" s="256"/>
      <c r="G141" s="256"/>
      <c r="H141" s="256"/>
      <c r="I141" s="208" t="s">
        <v>233</v>
      </c>
      <c r="J141" s="240" t="s">
        <v>234</v>
      </c>
      <c r="K141" s="244">
        <f t="shared" si="8"/>
        <v>0</v>
      </c>
      <c r="L141" s="260"/>
      <c r="M141" s="260"/>
      <c r="N141" s="260"/>
      <c r="O141" s="260"/>
      <c r="P141" s="261"/>
    </row>
    <row r="142" ht="13.5" spans="1:16">
      <c r="A142" s="208"/>
      <c r="B142" s="240" t="s">
        <v>235</v>
      </c>
      <c r="C142" s="244">
        <f t="shared" si="7"/>
        <v>0</v>
      </c>
      <c r="D142" s="256"/>
      <c r="E142" s="256"/>
      <c r="F142" s="256"/>
      <c r="G142" s="256"/>
      <c r="H142" s="256"/>
      <c r="I142" s="208" t="s">
        <v>236</v>
      </c>
      <c r="J142" s="240" t="s">
        <v>237</v>
      </c>
      <c r="K142" s="244">
        <f t="shared" si="8"/>
        <v>0</v>
      </c>
      <c r="L142" s="260"/>
      <c r="M142" s="260"/>
      <c r="N142" s="260"/>
      <c r="O142" s="260"/>
      <c r="P142" s="261"/>
    </row>
    <row r="143" ht="13.5" spans="1:16">
      <c r="A143" s="208"/>
      <c r="B143" s="240" t="s">
        <v>238</v>
      </c>
      <c r="C143" s="244">
        <f t="shared" si="7"/>
        <v>0</v>
      </c>
      <c r="D143" s="256"/>
      <c r="E143" s="256"/>
      <c r="F143" s="256"/>
      <c r="G143" s="256"/>
      <c r="H143" s="256"/>
      <c r="I143" s="208" t="s">
        <v>239</v>
      </c>
      <c r="J143" s="240" t="s">
        <v>240</v>
      </c>
      <c r="K143" s="244">
        <f t="shared" si="8"/>
        <v>0</v>
      </c>
      <c r="L143" s="260"/>
      <c r="M143" s="260"/>
      <c r="N143" s="260"/>
      <c r="O143" s="260"/>
      <c r="P143" s="261"/>
    </row>
    <row r="144" ht="13.5" spans="1:16">
      <c r="A144" s="208"/>
      <c r="B144" s="240" t="s">
        <v>241</v>
      </c>
      <c r="C144" s="244">
        <f t="shared" si="7"/>
        <v>0</v>
      </c>
      <c r="D144" s="256"/>
      <c r="E144" s="256"/>
      <c r="F144" s="256"/>
      <c r="G144" s="256"/>
      <c r="H144" s="256"/>
      <c r="I144" s="208" t="s">
        <v>242</v>
      </c>
      <c r="J144" s="240" t="s">
        <v>243</v>
      </c>
      <c r="K144" s="244">
        <f t="shared" si="8"/>
        <v>0</v>
      </c>
      <c r="L144" s="260"/>
      <c r="M144" s="260"/>
      <c r="N144" s="260"/>
      <c r="O144" s="260"/>
      <c r="P144" s="261"/>
    </row>
    <row r="145" ht="13.5" spans="1:16">
      <c r="A145" s="208"/>
      <c r="B145" s="240" t="s">
        <v>244</v>
      </c>
      <c r="C145" s="244">
        <f t="shared" si="7"/>
        <v>0</v>
      </c>
      <c r="D145" s="256"/>
      <c r="E145" s="256"/>
      <c r="F145" s="256"/>
      <c r="G145" s="256"/>
      <c r="H145" s="256"/>
      <c r="I145" s="208" t="s">
        <v>245</v>
      </c>
      <c r="J145" s="240" t="s">
        <v>246</v>
      </c>
      <c r="K145" s="244">
        <f t="shared" si="8"/>
        <v>0</v>
      </c>
      <c r="L145" s="260"/>
      <c r="M145" s="260"/>
      <c r="N145" s="260"/>
      <c r="O145" s="260"/>
      <c r="P145" s="261"/>
    </row>
    <row r="146" ht="13.5" spans="1:16">
      <c r="A146" s="208"/>
      <c r="B146" s="240" t="s">
        <v>247</v>
      </c>
      <c r="C146" s="244">
        <f t="shared" si="7"/>
        <v>0</v>
      </c>
      <c r="D146" s="256"/>
      <c r="E146" s="256"/>
      <c r="F146" s="256"/>
      <c r="G146" s="256"/>
      <c r="H146" s="256"/>
      <c r="I146" s="208" t="s">
        <v>248</v>
      </c>
      <c r="J146" s="240" t="s">
        <v>249</v>
      </c>
      <c r="K146" s="244">
        <f t="shared" si="8"/>
        <v>0</v>
      </c>
      <c r="L146" s="260"/>
      <c r="M146" s="260"/>
      <c r="N146" s="260"/>
      <c r="O146" s="260"/>
      <c r="P146" s="261"/>
    </row>
    <row r="147" ht="13.5" spans="1:16">
      <c r="A147" s="208"/>
      <c r="B147" s="240" t="s">
        <v>250</v>
      </c>
      <c r="C147" s="244">
        <f t="shared" si="7"/>
        <v>0</v>
      </c>
      <c r="D147" s="256"/>
      <c r="E147" s="256"/>
      <c r="F147" s="256"/>
      <c r="G147" s="256"/>
      <c r="H147" s="256"/>
      <c r="I147" s="208" t="s">
        <v>251</v>
      </c>
      <c r="J147" s="240" t="s">
        <v>252</v>
      </c>
      <c r="K147" s="244">
        <f t="shared" si="8"/>
        <v>0</v>
      </c>
      <c r="L147" s="260"/>
      <c r="M147" s="260"/>
      <c r="N147" s="260"/>
      <c r="O147" s="260"/>
      <c r="P147" s="261"/>
    </row>
    <row r="148" ht="13.5" spans="1:16">
      <c r="A148" s="208"/>
      <c r="B148" s="240" t="s">
        <v>253</v>
      </c>
      <c r="C148" s="244">
        <f t="shared" si="7"/>
        <v>0</v>
      </c>
      <c r="D148" s="256"/>
      <c r="E148" s="256"/>
      <c r="F148" s="256"/>
      <c r="G148" s="256"/>
      <c r="H148" s="256"/>
      <c r="I148" s="208" t="s">
        <v>254</v>
      </c>
      <c r="J148" s="240" t="s">
        <v>255</v>
      </c>
      <c r="K148" s="244">
        <f t="shared" si="8"/>
        <v>0</v>
      </c>
      <c r="L148" s="260"/>
      <c r="M148" s="260"/>
      <c r="N148" s="260"/>
      <c r="O148" s="260"/>
      <c r="P148" s="261"/>
    </row>
    <row r="149" ht="13.5" spans="1:16">
      <c r="A149" s="208"/>
      <c r="B149" s="240" t="s">
        <v>256</v>
      </c>
      <c r="C149" s="244">
        <f t="shared" si="7"/>
        <v>0</v>
      </c>
      <c r="D149" s="256"/>
      <c r="E149" s="256"/>
      <c r="F149" s="256"/>
      <c r="G149" s="256"/>
      <c r="H149" s="256"/>
      <c r="I149" s="208" t="s">
        <v>257</v>
      </c>
      <c r="J149" s="240" t="s">
        <v>258</v>
      </c>
      <c r="K149" s="244">
        <f t="shared" si="8"/>
        <v>0</v>
      </c>
      <c r="L149" s="260"/>
      <c r="M149" s="260"/>
      <c r="N149" s="260"/>
      <c r="O149" s="260"/>
      <c r="P149" s="261"/>
    </row>
    <row r="150" ht="13.5" spans="1:16">
      <c r="A150" s="208"/>
      <c r="B150" s="240" t="s">
        <v>259</v>
      </c>
      <c r="C150" s="244">
        <f t="shared" si="7"/>
        <v>0</v>
      </c>
      <c r="D150" s="256"/>
      <c r="E150" s="256"/>
      <c r="F150" s="256"/>
      <c r="G150" s="256"/>
      <c r="H150" s="256"/>
      <c r="I150" s="208" t="s">
        <v>260</v>
      </c>
      <c r="J150" s="240" t="s">
        <v>261</v>
      </c>
      <c r="K150" s="244">
        <f t="shared" si="8"/>
        <v>0</v>
      </c>
      <c r="L150" s="260"/>
      <c r="M150" s="260"/>
      <c r="N150" s="260"/>
      <c r="O150" s="260"/>
      <c r="P150" s="261"/>
    </row>
    <row r="151" ht="13.5" spans="1:16">
      <c r="A151" s="208"/>
      <c r="B151" s="240" t="s">
        <v>262</v>
      </c>
      <c r="C151" s="244">
        <f t="shared" si="7"/>
        <v>0</v>
      </c>
      <c r="D151" s="256"/>
      <c r="E151" s="256"/>
      <c r="F151" s="256"/>
      <c r="G151" s="256"/>
      <c r="H151" s="256"/>
      <c r="I151" s="208" t="s">
        <v>263</v>
      </c>
      <c r="J151" s="240" t="s">
        <v>264</v>
      </c>
      <c r="K151" s="244">
        <f t="shared" si="8"/>
        <v>0</v>
      </c>
      <c r="L151" s="260"/>
      <c r="M151" s="260"/>
      <c r="N151" s="260"/>
      <c r="O151" s="260"/>
      <c r="P151" s="261"/>
    </row>
    <row r="152" ht="13.5" spans="1:16">
      <c r="A152" s="208"/>
      <c r="B152" s="240" t="s">
        <v>265</v>
      </c>
      <c r="C152" s="244">
        <f t="shared" si="7"/>
        <v>0</v>
      </c>
      <c r="D152" s="256"/>
      <c r="E152" s="256"/>
      <c r="F152" s="256"/>
      <c r="G152" s="256"/>
      <c r="H152" s="256"/>
      <c r="I152" s="208" t="s">
        <v>266</v>
      </c>
      <c r="J152" s="240" t="s">
        <v>267</v>
      </c>
      <c r="K152" s="244">
        <f t="shared" si="8"/>
        <v>1026492.34</v>
      </c>
      <c r="L152" s="260">
        <v>-358894.53</v>
      </c>
      <c r="M152" s="260">
        <v>1385386.87</v>
      </c>
      <c r="N152" s="260"/>
      <c r="O152" s="260"/>
      <c r="P152" s="261"/>
    </row>
    <row r="153" ht="13.5" spans="1:16">
      <c r="A153" s="208"/>
      <c r="B153" s="240" t="s">
        <v>268</v>
      </c>
      <c r="C153" s="244">
        <f t="shared" si="7"/>
        <v>0</v>
      </c>
      <c r="D153" s="256"/>
      <c r="E153" s="256"/>
      <c r="F153" s="256"/>
      <c r="G153" s="256"/>
      <c r="H153" s="256"/>
      <c r="I153" s="254" t="s">
        <v>269</v>
      </c>
      <c r="J153" s="240" t="s">
        <v>270</v>
      </c>
      <c r="K153" s="244">
        <f t="shared" si="8"/>
        <v>52334092.34</v>
      </c>
      <c r="L153" s="260">
        <v>50948705.47</v>
      </c>
      <c r="M153" s="260">
        <v>2692986.87</v>
      </c>
      <c r="N153" s="260"/>
      <c r="O153" s="260"/>
      <c r="P153" s="261">
        <v>1307600</v>
      </c>
    </row>
    <row r="154" ht="13.5" spans="1:16">
      <c r="A154" s="208"/>
      <c r="B154" s="240" t="s">
        <v>271</v>
      </c>
      <c r="C154" s="244">
        <f t="shared" si="7"/>
        <v>0</v>
      </c>
      <c r="D154" s="256"/>
      <c r="E154" s="256"/>
      <c r="F154" s="256"/>
      <c r="G154" s="256"/>
      <c r="H154" s="256"/>
      <c r="I154" s="208" t="s">
        <v>272</v>
      </c>
      <c r="J154" s="240" t="s">
        <v>273</v>
      </c>
      <c r="K154" s="244">
        <f t="shared" si="8"/>
        <v>0</v>
      </c>
      <c r="L154" s="260"/>
      <c r="M154" s="260"/>
      <c r="N154" s="260"/>
      <c r="O154" s="260"/>
      <c r="P154" s="261"/>
    </row>
    <row r="155" ht="13.5" spans="1:16">
      <c r="A155" s="208"/>
      <c r="B155" s="240" t="s">
        <v>274</v>
      </c>
      <c r="C155" s="244">
        <f t="shared" si="7"/>
        <v>0</v>
      </c>
      <c r="D155" s="255"/>
      <c r="E155" s="255"/>
      <c r="F155" s="255"/>
      <c r="G155" s="255"/>
      <c r="H155" s="255"/>
      <c r="I155" s="254" t="s">
        <v>275</v>
      </c>
      <c r="J155" s="240" t="s">
        <v>276</v>
      </c>
      <c r="K155" s="244">
        <f t="shared" si="8"/>
        <v>52334092.34</v>
      </c>
      <c r="L155" s="260">
        <v>50948705.47</v>
      </c>
      <c r="M155" s="260">
        <v>2692986.87</v>
      </c>
      <c r="N155" s="260"/>
      <c r="O155" s="260"/>
      <c r="P155" s="261">
        <v>1307600</v>
      </c>
    </row>
    <row r="156" ht="14.25" spans="1:16">
      <c r="A156" s="265" t="s">
        <v>277</v>
      </c>
      <c r="B156" s="266" t="s">
        <v>278</v>
      </c>
      <c r="C156" s="244">
        <f t="shared" si="7"/>
        <v>56879278.811</v>
      </c>
      <c r="D156" s="267">
        <f>D107+D134</f>
        <v>52444463.43</v>
      </c>
      <c r="E156" s="267">
        <f>E107+E134</f>
        <v>5742415.381</v>
      </c>
      <c r="F156" s="267"/>
      <c r="G156" s="267">
        <v>1307600</v>
      </c>
      <c r="H156" s="267"/>
      <c r="I156" s="265" t="s">
        <v>279</v>
      </c>
      <c r="J156" s="266" t="s">
        <v>280</v>
      </c>
      <c r="K156" s="244">
        <f t="shared" si="8"/>
        <v>56879278.81</v>
      </c>
      <c r="L156" s="271">
        <v>52444463.43</v>
      </c>
      <c r="M156" s="271">
        <v>5742415.38</v>
      </c>
      <c r="N156" s="271"/>
      <c r="O156" s="271"/>
      <c r="P156" s="275">
        <v>1307600</v>
      </c>
    </row>
    <row r="157" ht="14.25" spans="1:16">
      <c r="A157" s="268" t="s">
        <v>281</v>
      </c>
      <c r="B157" s="269"/>
      <c r="C157" s="270"/>
      <c r="D157" s="270"/>
      <c r="E157" s="270"/>
      <c r="F157" s="270"/>
      <c r="G157" s="270"/>
      <c r="H157" s="270"/>
      <c r="I157" s="272"/>
      <c r="J157" s="272"/>
      <c r="K157" s="270"/>
      <c r="L157" s="270"/>
      <c r="M157" s="270"/>
      <c r="N157" s="270"/>
      <c r="O157" s="270"/>
      <c r="P157" s="270"/>
    </row>
    <row r="160" spans="10:14">
      <c r="J160" s="273" t="s">
        <v>500</v>
      </c>
      <c r="K160" s="239">
        <f>C156-K156</f>
        <v>0.000999994575977325</v>
      </c>
      <c r="L160" s="239">
        <f>D156-L156</f>
        <v>0</v>
      </c>
      <c r="M160" s="239">
        <f>E156-M156</f>
        <v>0.00100000016391277</v>
      </c>
      <c r="N160" s="239">
        <f>F156-N156</f>
        <v>0</v>
      </c>
    </row>
    <row r="162" spans="11:14">
      <c r="K162" s="239"/>
      <c r="M162" s="239"/>
      <c r="N162" s="239"/>
    </row>
    <row r="173" spans="5:6">
      <c r="E173" s="239"/>
      <c r="F173" s="239"/>
    </row>
  </sheetData>
  <mergeCells count="2">
    <mergeCell ref="A77:P77"/>
    <mergeCell ref="A157:P157"/>
  </mergeCells>
  <pageMargins left="0.75" right="0.75" top="1" bottom="1" header="0.5" footer="0.5"/>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Q80"/>
  <sheetViews>
    <sheetView zoomScale="60" zoomScaleNormal="60" workbookViewId="0">
      <selection activeCell="G27" sqref="G27"/>
    </sheetView>
  </sheetViews>
  <sheetFormatPr defaultColWidth="9" defaultRowHeight="15"/>
  <cols>
    <col min="1" max="1" width="30.75" style="200" customWidth="1"/>
    <col min="2" max="2" width="5.25" style="199"/>
    <col min="3" max="4" width="14.75" style="201" customWidth="1"/>
    <col min="5" max="5" width="18.0333333333333" style="201" customWidth="1"/>
    <col min="6" max="7" width="14.75" style="201" customWidth="1"/>
    <col min="8" max="8" width="15.75" style="201" customWidth="1"/>
    <col min="9" max="9" width="42.125" style="200" customWidth="1"/>
    <col min="10" max="10" width="5.875" style="199" customWidth="1"/>
    <col min="11" max="15" width="15.375" style="201" customWidth="1"/>
    <col min="16" max="16" width="13.75" style="201" customWidth="1"/>
    <col min="17" max="17" width="19.125" style="65" customWidth="1"/>
    <col min="18" max="16384" width="9" style="200"/>
  </cols>
  <sheetData>
    <row r="2" s="199" customFormat="1" spans="1:17">
      <c r="A2" s="202" t="s">
        <v>3</v>
      </c>
      <c r="B2" s="203" t="s">
        <v>4</v>
      </c>
      <c r="C2" s="204" t="s">
        <v>491</v>
      </c>
      <c r="D2" s="204" t="s">
        <v>492</v>
      </c>
      <c r="E2" s="204" t="s">
        <v>493</v>
      </c>
      <c r="F2" s="204" t="s">
        <v>494</v>
      </c>
      <c r="G2" s="204" t="s">
        <v>495</v>
      </c>
      <c r="H2" s="204" t="s">
        <v>496</v>
      </c>
      <c r="I2" s="203" t="s">
        <v>3</v>
      </c>
      <c r="J2" s="203" t="s">
        <v>4</v>
      </c>
      <c r="K2" s="204" t="s">
        <v>491</v>
      </c>
      <c r="L2" s="223" t="s">
        <v>492</v>
      </c>
      <c r="M2" s="223" t="s">
        <v>493</v>
      </c>
      <c r="N2" s="223" t="s">
        <v>494</v>
      </c>
      <c r="O2" s="223" t="s">
        <v>495</v>
      </c>
      <c r="P2" s="223" t="s">
        <v>496</v>
      </c>
      <c r="Q2" s="72"/>
    </row>
    <row r="3" spans="1:16">
      <c r="A3" s="205" t="s">
        <v>290</v>
      </c>
      <c r="B3" s="206">
        <v>1</v>
      </c>
      <c r="C3" s="207">
        <f>D3+E3+F3</f>
        <v>17278258.61</v>
      </c>
      <c r="D3" s="207">
        <f>SUM(D4:D7)</f>
        <v>9108910.88</v>
      </c>
      <c r="E3" s="207">
        <f>SUM(E4:E7)</f>
        <v>8064717.79</v>
      </c>
      <c r="F3" s="207">
        <f>SUM(F4:F7)</f>
        <v>104629.94</v>
      </c>
      <c r="G3" s="207"/>
      <c r="H3" s="207">
        <f>SUM(H4:H7)</f>
        <v>0</v>
      </c>
      <c r="I3" s="224" t="s">
        <v>291</v>
      </c>
      <c r="J3" s="206">
        <v>34</v>
      </c>
      <c r="K3" s="207">
        <f>L3+M3+N3</f>
        <v>0</v>
      </c>
      <c r="L3" s="225"/>
      <c r="M3" s="207"/>
      <c r="N3" s="207"/>
      <c r="O3" s="207"/>
      <c r="P3" s="207"/>
    </row>
    <row r="4" spans="1:16">
      <c r="A4" s="208" t="s">
        <v>292</v>
      </c>
      <c r="B4" s="206">
        <v>2</v>
      </c>
      <c r="C4" s="207">
        <f t="shared" ref="C4:C34" si="0">D4+E4+F4</f>
        <v>17278258.61</v>
      </c>
      <c r="D4" s="209">
        <v>9108910.88</v>
      </c>
      <c r="E4" s="209">
        <v>8064717.79</v>
      </c>
      <c r="F4" s="209">
        <v>104629.94</v>
      </c>
      <c r="G4" s="209"/>
      <c r="H4" s="165"/>
      <c r="I4" s="224" t="s">
        <v>293</v>
      </c>
      <c r="J4" s="206">
        <v>35</v>
      </c>
      <c r="K4" s="207">
        <f t="shared" ref="K4:K35" si="1">L4+M4+N4</f>
        <v>0</v>
      </c>
      <c r="L4" s="225"/>
      <c r="M4" s="207"/>
      <c r="N4" s="207"/>
      <c r="O4" s="207"/>
      <c r="P4" s="207"/>
    </row>
    <row r="5" spans="1:17">
      <c r="A5" s="208" t="s">
        <v>294</v>
      </c>
      <c r="B5" s="206">
        <v>3</v>
      </c>
      <c r="C5" s="207">
        <f t="shared" si="0"/>
        <v>0</v>
      </c>
      <c r="D5" s="207"/>
      <c r="E5" s="207"/>
      <c r="F5" s="207"/>
      <c r="G5" s="207"/>
      <c r="H5" s="207">
        <v>0</v>
      </c>
      <c r="I5" s="224" t="s">
        <v>295</v>
      </c>
      <c r="J5" s="206">
        <v>36</v>
      </c>
      <c r="K5" s="207">
        <f t="shared" si="1"/>
        <v>0</v>
      </c>
      <c r="L5" s="225"/>
      <c r="M5" s="207"/>
      <c r="N5" s="207"/>
      <c r="O5" s="207"/>
      <c r="P5" s="207"/>
      <c r="Q5" s="235"/>
    </row>
    <row r="6" spans="1:16">
      <c r="A6" s="208" t="s">
        <v>296</v>
      </c>
      <c r="B6" s="206">
        <v>4</v>
      </c>
      <c r="C6" s="207">
        <f t="shared" si="0"/>
        <v>0</v>
      </c>
      <c r="D6" s="207"/>
      <c r="E6" s="207"/>
      <c r="F6" s="207"/>
      <c r="G6" s="207"/>
      <c r="H6" s="207">
        <v>0</v>
      </c>
      <c r="I6" s="224" t="s">
        <v>297</v>
      </c>
      <c r="J6" s="206">
        <v>37</v>
      </c>
      <c r="K6" s="207">
        <f t="shared" si="1"/>
        <v>53495.55</v>
      </c>
      <c r="L6" s="225"/>
      <c r="M6" s="207">
        <v>53495.55</v>
      </c>
      <c r="N6" s="207"/>
      <c r="O6" s="207"/>
      <c r="P6" s="166"/>
    </row>
    <row r="7" spans="1:16">
      <c r="A7" s="208" t="s">
        <v>298</v>
      </c>
      <c r="B7" s="206">
        <v>5</v>
      </c>
      <c r="C7" s="207">
        <f t="shared" si="0"/>
        <v>0</v>
      </c>
      <c r="D7" s="207"/>
      <c r="E7" s="207"/>
      <c r="F7" s="207"/>
      <c r="G7" s="207"/>
      <c r="H7" s="207">
        <v>0</v>
      </c>
      <c r="I7" s="224" t="s">
        <v>299</v>
      </c>
      <c r="J7" s="206">
        <v>38</v>
      </c>
      <c r="K7" s="207">
        <f t="shared" si="1"/>
        <v>0</v>
      </c>
      <c r="L7" s="225"/>
      <c r="M7" s="207"/>
      <c r="N7" s="207"/>
      <c r="O7" s="207"/>
      <c r="P7" s="207">
        <v>0</v>
      </c>
    </row>
    <row r="8" spans="1:17">
      <c r="A8" s="205" t="s">
        <v>300</v>
      </c>
      <c r="B8" s="206">
        <v>6</v>
      </c>
      <c r="C8" s="207">
        <f t="shared" si="0"/>
        <v>14705011.439</v>
      </c>
      <c r="D8" s="207">
        <f>SUM(D9:D19)+D22+D26+D27</f>
        <v>7335377.61</v>
      </c>
      <c r="E8" s="207">
        <f>SUM(E9:E19)+E22+E26+E27</f>
        <v>6288157.299</v>
      </c>
      <c r="F8" s="207">
        <f>SUM(F9:F19)+F22+F26+F27</f>
        <v>1081476.53</v>
      </c>
      <c r="G8" s="207"/>
      <c r="H8" s="207">
        <f>SUM(H9:H19)+H22+H26+H27</f>
        <v>0</v>
      </c>
      <c r="I8" s="224" t="s">
        <v>301</v>
      </c>
      <c r="J8" s="206">
        <v>39</v>
      </c>
      <c r="K8" s="207">
        <f t="shared" si="1"/>
        <v>0</v>
      </c>
      <c r="L8" s="225"/>
      <c r="M8" s="207"/>
      <c r="N8" s="207"/>
      <c r="O8" s="207"/>
      <c r="P8" s="207"/>
      <c r="Q8" s="236"/>
    </row>
    <row r="9" spans="1:17">
      <c r="A9" s="210" t="s">
        <v>302</v>
      </c>
      <c r="B9" s="206">
        <v>7</v>
      </c>
      <c r="C9" s="207">
        <f t="shared" si="0"/>
        <v>5165614.96</v>
      </c>
      <c r="D9" s="207"/>
      <c r="E9" s="207">
        <v>4999753.28</v>
      </c>
      <c r="F9" s="207">
        <v>165861.68</v>
      </c>
      <c r="G9" s="207"/>
      <c r="H9" s="165"/>
      <c r="I9" s="224" t="s">
        <v>303</v>
      </c>
      <c r="J9" s="206">
        <v>40</v>
      </c>
      <c r="K9" s="207">
        <f t="shared" si="1"/>
        <v>0</v>
      </c>
      <c r="L9" s="225"/>
      <c r="M9" s="207"/>
      <c r="N9" s="207"/>
      <c r="O9" s="207"/>
      <c r="P9" s="207"/>
      <c r="Q9" s="235"/>
    </row>
    <row r="10" spans="1:16">
      <c r="A10" s="210" t="s">
        <v>304</v>
      </c>
      <c r="B10" s="206">
        <v>8</v>
      </c>
      <c r="C10" s="207">
        <f t="shared" si="0"/>
        <v>0</v>
      </c>
      <c r="D10" s="207"/>
      <c r="E10" s="207"/>
      <c r="F10" s="207"/>
      <c r="G10" s="207"/>
      <c r="H10" s="207">
        <v>0</v>
      </c>
      <c r="I10" s="226" t="s">
        <v>305</v>
      </c>
      <c r="J10" s="206">
        <v>41</v>
      </c>
      <c r="K10" s="207">
        <f t="shared" si="1"/>
        <v>2669770.051</v>
      </c>
      <c r="L10" s="225">
        <f>D33+D34-L6</f>
        <v>1923551.7</v>
      </c>
      <c r="M10" s="225">
        <f>E33+E34-M6</f>
        <v>1723064.941</v>
      </c>
      <c r="N10" s="225">
        <f>F33+F34-N6</f>
        <v>-976846.59</v>
      </c>
      <c r="O10" s="207"/>
      <c r="P10" s="207">
        <f>H33+H34-P6</f>
        <v>0</v>
      </c>
    </row>
    <row r="11" spans="1:17">
      <c r="A11" s="210" t="s">
        <v>306</v>
      </c>
      <c r="B11" s="206">
        <v>9</v>
      </c>
      <c r="C11" s="207">
        <f t="shared" si="0"/>
        <v>0</v>
      </c>
      <c r="D11" s="207"/>
      <c r="E11" s="207"/>
      <c r="F11" s="207"/>
      <c r="G11" s="207"/>
      <c r="H11" s="207">
        <v>0</v>
      </c>
      <c r="I11" s="224" t="s">
        <v>307</v>
      </c>
      <c r="J11" s="206">
        <v>42</v>
      </c>
      <c r="K11" s="207">
        <f t="shared" si="1"/>
        <v>869282.61</v>
      </c>
      <c r="L11" s="225">
        <v>786299.58</v>
      </c>
      <c r="M11" s="209">
        <v>82983.03</v>
      </c>
      <c r="N11" s="222"/>
      <c r="O11" s="207"/>
      <c r="P11" s="207"/>
      <c r="Q11" s="235"/>
    </row>
    <row r="12" spans="1:17">
      <c r="A12" s="210" t="s">
        <v>308</v>
      </c>
      <c r="B12" s="206">
        <v>10</v>
      </c>
      <c r="C12" s="207">
        <f t="shared" si="0"/>
        <v>0</v>
      </c>
      <c r="D12" s="207"/>
      <c r="E12" s="207"/>
      <c r="F12" s="207"/>
      <c r="G12" s="207"/>
      <c r="H12" s="207">
        <v>0</v>
      </c>
      <c r="I12" s="226" t="s">
        <v>309</v>
      </c>
      <c r="J12" s="206">
        <v>43</v>
      </c>
      <c r="K12" s="207">
        <f t="shared" si="1"/>
        <v>1800487.441</v>
      </c>
      <c r="L12" s="225">
        <f>L10-L11</f>
        <v>1137252.12</v>
      </c>
      <c r="M12" s="225">
        <f>M10-M11</f>
        <v>1640081.911</v>
      </c>
      <c r="N12" s="225">
        <f>N10-N11</f>
        <v>-976846.59</v>
      </c>
      <c r="O12" s="207"/>
      <c r="P12" s="207">
        <f>P10-P11</f>
        <v>0</v>
      </c>
      <c r="Q12" s="236"/>
    </row>
    <row r="13" spans="1:17">
      <c r="A13" s="210" t="s">
        <v>310</v>
      </c>
      <c r="B13" s="206">
        <v>11</v>
      </c>
      <c r="C13" s="207">
        <f t="shared" si="0"/>
        <v>0</v>
      </c>
      <c r="D13" s="207"/>
      <c r="E13" s="207"/>
      <c r="F13" s="207"/>
      <c r="G13" s="207"/>
      <c r="H13" s="207">
        <v>0</v>
      </c>
      <c r="I13" s="224" t="s">
        <v>311</v>
      </c>
      <c r="J13" s="206">
        <v>44</v>
      </c>
      <c r="K13" s="207">
        <f t="shared" si="1"/>
        <v>0</v>
      </c>
      <c r="L13" s="225"/>
      <c r="M13" s="207"/>
      <c r="N13" s="207"/>
      <c r="O13" s="207"/>
      <c r="P13" s="207"/>
      <c r="Q13" s="236"/>
    </row>
    <row r="14" spans="1:16">
      <c r="A14" s="210" t="s">
        <v>312</v>
      </c>
      <c r="B14" s="206">
        <v>12</v>
      </c>
      <c r="C14" s="207">
        <f t="shared" si="0"/>
        <v>0</v>
      </c>
      <c r="D14" s="207"/>
      <c r="E14" s="211"/>
      <c r="F14" s="207"/>
      <c r="G14" s="207"/>
      <c r="H14" s="207">
        <v>0</v>
      </c>
      <c r="I14" s="224" t="s">
        <v>313</v>
      </c>
      <c r="J14" s="206">
        <v>45</v>
      </c>
      <c r="K14" s="207">
        <f t="shared" si="1"/>
        <v>0</v>
      </c>
      <c r="L14" s="227"/>
      <c r="M14" s="228"/>
      <c r="N14" s="228"/>
      <c r="O14" s="228"/>
      <c r="P14" s="228"/>
    </row>
    <row r="15" spans="1:16">
      <c r="A15" s="210" t="s">
        <v>314</v>
      </c>
      <c r="B15" s="206">
        <v>13</v>
      </c>
      <c r="C15" s="207">
        <f t="shared" si="0"/>
        <v>0</v>
      </c>
      <c r="D15" s="207"/>
      <c r="E15" s="207"/>
      <c r="F15" s="207"/>
      <c r="G15" s="207"/>
      <c r="H15" s="207">
        <v>0</v>
      </c>
      <c r="I15" s="224" t="s">
        <v>315</v>
      </c>
      <c r="J15" s="206">
        <v>46</v>
      </c>
      <c r="K15" s="207">
        <f t="shared" si="1"/>
        <v>0</v>
      </c>
      <c r="L15" s="225"/>
      <c r="M15" s="207"/>
      <c r="N15" s="207"/>
      <c r="O15" s="207"/>
      <c r="P15" s="207"/>
    </row>
    <row r="16" spans="1:16">
      <c r="A16" s="210" t="s">
        <v>316</v>
      </c>
      <c r="B16" s="206">
        <v>14</v>
      </c>
      <c r="C16" s="207">
        <f t="shared" si="0"/>
        <v>0</v>
      </c>
      <c r="D16" s="207"/>
      <c r="E16" s="207"/>
      <c r="F16" s="207"/>
      <c r="G16" s="207"/>
      <c r="H16" s="207">
        <v>0</v>
      </c>
      <c r="I16" s="224" t="s">
        <v>317</v>
      </c>
      <c r="J16" s="206">
        <v>47</v>
      </c>
      <c r="K16" s="207">
        <f t="shared" si="1"/>
        <v>0</v>
      </c>
      <c r="L16" s="225"/>
      <c r="M16" s="207"/>
      <c r="N16" s="207"/>
      <c r="O16" s="207"/>
      <c r="P16" s="207"/>
    </row>
    <row r="17" spans="1:16">
      <c r="A17" s="210" t="s">
        <v>318</v>
      </c>
      <c r="B17" s="206">
        <v>15</v>
      </c>
      <c r="C17" s="207">
        <f t="shared" si="0"/>
        <v>81.57</v>
      </c>
      <c r="D17" s="207"/>
      <c r="E17" s="212">
        <v>81.57</v>
      </c>
      <c r="F17" s="212"/>
      <c r="G17" s="207"/>
      <c r="H17" s="165"/>
      <c r="I17" s="226" t="s">
        <v>319</v>
      </c>
      <c r="J17" s="206">
        <v>48</v>
      </c>
      <c r="K17" s="207">
        <f t="shared" si="1"/>
        <v>0</v>
      </c>
      <c r="L17" s="225"/>
      <c r="M17" s="207"/>
      <c r="N17" s="207"/>
      <c r="O17" s="207"/>
      <c r="P17" s="207">
        <v>0</v>
      </c>
    </row>
    <row r="18" spans="1:16">
      <c r="A18" s="210" t="s">
        <v>320</v>
      </c>
      <c r="B18" s="206">
        <v>16</v>
      </c>
      <c r="C18" s="207">
        <f t="shared" si="0"/>
        <v>754.21</v>
      </c>
      <c r="D18" s="207"/>
      <c r="E18" s="207"/>
      <c r="F18" s="207">
        <v>754.21</v>
      </c>
      <c r="G18" s="207"/>
      <c r="H18" s="165"/>
      <c r="I18" s="224" t="s">
        <v>321</v>
      </c>
      <c r="J18" s="206">
        <v>49</v>
      </c>
      <c r="K18" s="207">
        <f t="shared" si="1"/>
        <v>0</v>
      </c>
      <c r="L18" s="225"/>
      <c r="M18" s="207"/>
      <c r="N18" s="207"/>
      <c r="O18" s="207"/>
      <c r="P18" s="207">
        <v>0</v>
      </c>
    </row>
    <row r="19" spans="1:16">
      <c r="A19" s="210" t="s">
        <v>322</v>
      </c>
      <c r="B19" s="206">
        <v>17</v>
      </c>
      <c r="C19" s="207">
        <f t="shared" si="0"/>
        <v>9454160.76</v>
      </c>
      <c r="D19" s="209">
        <v>7391486.72</v>
      </c>
      <c r="E19" s="209">
        <v>1145357.02</v>
      </c>
      <c r="F19" s="209">
        <v>917317.02</v>
      </c>
      <c r="G19" s="209"/>
      <c r="H19" s="165"/>
      <c r="I19" s="224" t="s">
        <v>323</v>
      </c>
      <c r="J19" s="206">
        <v>50</v>
      </c>
      <c r="K19" s="207">
        <f t="shared" si="1"/>
        <v>0</v>
      </c>
      <c r="L19" s="225"/>
      <c r="M19" s="207"/>
      <c r="N19" s="207"/>
      <c r="O19" s="207"/>
      <c r="P19" s="207">
        <v>0</v>
      </c>
    </row>
    <row r="20" spans="1:16">
      <c r="A20" s="210" t="s">
        <v>324</v>
      </c>
      <c r="B20" s="206">
        <v>18</v>
      </c>
      <c r="C20" s="207">
        <f t="shared" si="0"/>
        <v>0</v>
      </c>
      <c r="D20" s="207"/>
      <c r="E20" s="207"/>
      <c r="F20" s="207"/>
      <c r="G20" s="207"/>
      <c r="H20" s="207"/>
      <c r="I20" s="224" t="s">
        <v>325</v>
      </c>
      <c r="J20" s="206">
        <v>51</v>
      </c>
      <c r="K20" s="207">
        <f t="shared" si="1"/>
        <v>0</v>
      </c>
      <c r="L20" s="225"/>
      <c r="M20" s="224"/>
      <c r="N20" s="224"/>
      <c r="O20" s="207"/>
      <c r="P20" s="207">
        <v>0</v>
      </c>
    </row>
    <row r="21" ht="27" spans="1:16">
      <c r="A21" s="210" t="s">
        <v>326</v>
      </c>
      <c r="B21" s="206">
        <v>19</v>
      </c>
      <c r="C21" s="207">
        <f t="shared" si="0"/>
        <v>0</v>
      </c>
      <c r="D21" s="207"/>
      <c r="E21" s="207"/>
      <c r="F21" s="207"/>
      <c r="G21" s="207"/>
      <c r="H21" s="207"/>
      <c r="I21" s="229" t="s">
        <v>327</v>
      </c>
      <c r="J21" s="206">
        <v>52</v>
      </c>
      <c r="K21" s="207">
        <f t="shared" si="1"/>
        <v>0</v>
      </c>
      <c r="L21" s="225"/>
      <c r="M21" s="207"/>
      <c r="N21" s="207"/>
      <c r="O21" s="207"/>
      <c r="P21" s="207"/>
    </row>
    <row r="22" spans="1:16">
      <c r="A22" s="210" t="s">
        <v>328</v>
      </c>
      <c r="B22" s="206">
        <v>20</v>
      </c>
      <c r="C22" s="207">
        <f t="shared" si="0"/>
        <v>-61961.85</v>
      </c>
      <c r="D22" s="207">
        <f>D23+D24</f>
        <v>-56109.11</v>
      </c>
      <c r="E22" s="207">
        <f>E23+E24</f>
        <v>-3396.36</v>
      </c>
      <c r="F22" s="207">
        <f>F23+F24</f>
        <v>-2456.38</v>
      </c>
      <c r="G22" s="207"/>
      <c r="H22" s="165"/>
      <c r="I22" s="224" t="s">
        <v>329</v>
      </c>
      <c r="J22" s="206">
        <v>53</v>
      </c>
      <c r="K22" s="207">
        <f t="shared" si="1"/>
        <v>0</v>
      </c>
      <c r="L22" s="225"/>
      <c r="M22" s="207"/>
      <c r="N22" s="207"/>
      <c r="O22" s="207"/>
      <c r="P22" s="207">
        <v>0</v>
      </c>
    </row>
    <row r="23" ht="27" spans="1:16">
      <c r="A23" s="210" t="s">
        <v>330</v>
      </c>
      <c r="B23" s="206">
        <v>21</v>
      </c>
      <c r="C23" s="207">
        <f t="shared" si="0"/>
        <v>7843.82</v>
      </c>
      <c r="D23" s="213">
        <v>3956</v>
      </c>
      <c r="E23" s="213">
        <v>625</v>
      </c>
      <c r="F23" s="213">
        <f>2737.82+525</f>
        <v>3262.82</v>
      </c>
      <c r="G23" s="213"/>
      <c r="H23" s="213"/>
      <c r="I23" s="229" t="s">
        <v>331</v>
      </c>
      <c r="J23" s="206">
        <v>54</v>
      </c>
      <c r="K23" s="207">
        <f t="shared" si="1"/>
        <v>0</v>
      </c>
      <c r="L23" s="225"/>
      <c r="M23" s="207"/>
      <c r="N23" s="207"/>
      <c r="O23" s="207"/>
      <c r="P23" s="207">
        <v>0</v>
      </c>
    </row>
    <row r="24" spans="1:16">
      <c r="A24" s="210" t="s">
        <v>332</v>
      </c>
      <c r="B24" s="206">
        <v>22</v>
      </c>
      <c r="C24" s="207">
        <f t="shared" si="0"/>
        <v>-69805.67</v>
      </c>
      <c r="D24" s="213">
        <v>-60065.11</v>
      </c>
      <c r="E24" s="213">
        <v>-4021.36</v>
      </c>
      <c r="F24" s="213">
        <f>-5003.44+-715.76</f>
        <v>-5719.2</v>
      </c>
      <c r="G24" s="213"/>
      <c r="H24" s="213"/>
      <c r="I24" s="224" t="s">
        <v>333</v>
      </c>
      <c r="J24" s="206">
        <v>55</v>
      </c>
      <c r="K24" s="207">
        <f t="shared" si="1"/>
        <v>0</v>
      </c>
      <c r="L24" s="225"/>
      <c r="M24" s="207"/>
      <c r="N24" s="207"/>
      <c r="O24" s="207"/>
      <c r="P24" s="207">
        <v>0</v>
      </c>
    </row>
    <row r="25" spans="1:16">
      <c r="A25" s="210" t="s">
        <v>504</v>
      </c>
      <c r="B25" s="206">
        <v>23</v>
      </c>
      <c r="C25" s="207">
        <f t="shared" si="0"/>
        <v>0</v>
      </c>
      <c r="D25" s="207"/>
      <c r="E25" s="207"/>
      <c r="F25" s="207"/>
      <c r="G25" s="207"/>
      <c r="H25" s="207"/>
      <c r="I25" s="224" t="s">
        <v>335</v>
      </c>
      <c r="J25" s="206">
        <v>56</v>
      </c>
      <c r="K25" s="207">
        <f t="shared" si="1"/>
        <v>0</v>
      </c>
      <c r="L25" s="225"/>
      <c r="M25" s="207"/>
      <c r="N25" s="207"/>
      <c r="O25" s="207"/>
      <c r="P25" s="207">
        <v>0</v>
      </c>
    </row>
    <row r="26" spans="1:16">
      <c r="A26" s="210" t="s">
        <v>336</v>
      </c>
      <c r="B26" s="206">
        <v>24</v>
      </c>
      <c r="C26" s="207">
        <f t="shared" si="0"/>
        <v>146361.789</v>
      </c>
      <c r="D26" s="207"/>
      <c r="E26" s="207">
        <v>146361.789</v>
      </c>
      <c r="F26" s="207"/>
      <c r="G26" s="207"/>
      <c r="H26" s="207"/>
      <c r="I26" s="224" t="s">
        <v>337</v>
      </c>
      <c r="J26" s="206">
        <v>57</v>
      </c>
      <c r="K26" s="207">
        <f t="shared" si="1"/>
        <v>0</v>
      </c>
      <c r="L26" s="225"/>
      <c r="M26" s="207"/>
      <c r="N26" s="207"/>
      <c r="O26" s="207"/>
      <c r="P26" s="207">
        <v>0</v>
      </c>
    </row>
    <row r="27" spans="1:17">
      <c r="A27" s="210" t="s">
        <v>338</v>
      </c>
      <c r="B27" s="206">
        <v>25</v>
      </c>
      <c r="C27" s="207">
        <f t="shared" si="0"/>
        <v>0</v>
      </c>
      <c r="D27" s="207"/>
      <c r="E27" s="207"/>
      <c r="F27" s="207"/>
      <c r="G27" s="207"/>
      <c r="H27" s="207">
        <v>0</v>
      </c>
      <c r="I27" s="224" t="s">
        <v>339</v>
      </c>
      <c r="J27" s="206">
        <v>58</v>
      </c>
      <c r="K27" s="207">
        <f t="shared" si="1"/>
        <v>0</v>
      </c>
      <c r="L27" s="225"/>
      <c r="M27" s="207"/>
      <c r="N27" s="207"/>
      <c r="O27" s="207"/>
      <c r="P27" s="207"/>
      <c r="Q27" s="235"/>
    </row>
    <row r="28" spans="1:16">
      <c r="A28" s="210" t="s">
        <v>340</v>
      </c>
      <c r="B28" s="206">
        <v>26</v>
      </c>
      <c r="C28" s="207">
        <f t="shared" si="0"/>
        <v>0</v>
      </c>
      <c r="D28" s="207"/>
      <c r="E28" s="207"/>
      <c r="F28" s="207"/>
      <c r="G28" s="207"/>
      <c r="H28" s="207">
        <v>0</v>
      </c>
      <c r="I28" s="224" t="s">
        <v>341</v>
      </c>
      <c r="J28" s="206">
        <v>59</v>
      </c>
      <c r="K28" s="207">
        <f t="shared" si="1"/>
        <v>0</v>
      </c>
      <c r="L28" s="225"/>
      <c r="M28" s="207"/>
      <c r="N28" s="207"/>
      <c r="O28" s="207"/>
      <c r="P28" s="207"/>
    </row>
    <row r="29" spans="1:16">
      <c r="A29" s="210" t="s">
        <v>505</v>
      </c>
      <c r="B29" s="206">
        <v>27</v>
      </c>
      <c r="C29" s="207">
        <f t="shared" si="0"/>
        <v>150000</v>
      </c>
      <c r="D29" s="207">
        <v>150000</v>
      </c>
      <c r="E29" s="207"/>
      <c r="F29" s="207"/>
      <c r="G29" s="207"/>
      <c r="H29" s="207"/>
      <c r="I29" s="226" t="s">
        <v>343</v>
      </c>
      <c r="J29" s="206">
        <v>60</v>
      </c>
      <c r="K29" s="207">
        <f t="shared" si="1"/>
        <v>1800487.441</v>
      </c>
      <c r="L29" s="225">
        <f>L30+L31</f>
        <v>1137252.12</v>
      </c>
      <c r="M29" s="207">
        <f>M30+M31</f>
        <v>1640081.911</v>
      </c>
      <c r="N29" s="207">
        <f>N30+N31</f>
        <v>-976846.59</v>
      </c>
      <c r="O29" s="207"/>
      <c r="P29" s="207">
        <f>P30+P31</f>
        <v>-393542.09</v>
      </c>
    </row>
    <row r="30" spans="1:16">
      <c r="A30" s="210" t="s">
        <v>506</v>
      </c>
      <c r="B30" s="206">
        <v>28</v>
      </c>
      <c r="C30" s="207">
        <f t="shared" si="0"/>
        <v>0</v>
      </c>
      <c r="D30" s="207"/>
      <c r="E30" s="207"/>
      <c r="F30" s="207"/>
      <c r="G30" s="207"/>
      <c r="H30" s="207">
        <v>0</v>
      </c>
      <c r="I30" s="224" t="s">
        <v>345</v>
      </c>
      <c r="J30" s="206">
        <v>61</v>
      </c>
      <c r="K30" s="207">
        <f t="shared" si="1"/>
        <v>1800487.441</v>
      </c>
      <c r="L30" s="225">
        <f>L12</f>
        <v>1137252.12</v>
      </c>
      <c r="M30" s="207">
        <f>M12</f>
        <v>1640081.911</v>
      </c>
      <c r="N30" s="207">
        <f>N12</f>
        <v>-976846.59</v>
      </c>
      <c r="O30" s="207"/>
      <c r="P30" s="207">
        <v>-393542.09</v>
      </c>
    </row>
    <row r="31" spans="1:16">
      <c r="A31" s="210" t="s">
        <v>507</v>
      </c>
      <c r="B31" s="206">
        <v>29</v>
      </c>
      <c r="C31" s="207">
        <f t="shared" si="0"/>
        <v>0</v>
      </c>
      <c r="D31" s="207"/>
      <c r="E31" s="207"/>
      <c r="F31" s="207"/>
      <c r="G31" s="207"/>
      <c r="H31" s="207">
        <v>0</v>
      </c>
      <c r="I31" s="224" t="s">
        <v>347</v>
      </c>
      <c r="J31" s="206">
        <v>62</v>
      </c>
      <c r="K31" s="207">
        <f t="shared" si="1"/>
        <v>0</v>
      </c>
      <c r="L31" s="225"/>
      <c r="M31" s="207"/>
      <c r="N31" s="207"/>
      <c r="O31" s="207"/>
      <c r="P31" s="207"/>
    </row>
    <row r="32" spans="1:16">
      <c r="A32" s="214" t="s">
        <v>348</v>
      </c>
      <c r="B32" s="215">
        <v>30</v>
      </c>
      <c r="C32" s="207">
        <f t="shared" si="0"/>
        <v>0</v>
      </c>
      <c r="D32" s="216"/>
      <c r="E32" s="216"/>
      <c r="F32" s="216"/>
      <c r="G32" s="216"/>
      <c r="H32" s="216"/>
      <c r="I32" s="230" t="s">
        <v>349</v>
      </c>
      <c r="J32" s="206">
        <v>63</v>
      </c>
      <c r="K32" s="207">
        <f t="shared" si="1"/>
        <v>0</v>
      </c>
      <c r="L32" s="231"/>
      <c r="M32" s="207"/>
      <c r="N32" s="207"/>
      <c r="O32" s="207"/>
      <c r="P32" s="207"/>
    </row>
    <row r="33" spans="1:16">
      <c r="A33" s="205" t="s">
        <v>508</v>
      </c>
      <c r="B33" s="215">
        <v>31</v>
      </c>
      <c r="C33" s="207">
        <f t="shared" si="0"/>
        <v>2723247.171</v>
      </c>
      <c r="D33" s="216">
        <f>D3-D8+D28+D29+D31+D32</f>
        <v>1923533.27</v>
      </c>
      <c r="E33" s="216">
        <f>E3-E8+E28+E29+E31+E32</f>
        <v>1776560.491</v>
      </c>
      <c r="F33" s="216">
        <f>F3-F8+F28+F29+F31+F32</f>
        <v>-976846.59</v>
      </c>
      <c r="G33" s="216"/>
      <c r="H33" s="216">
        <f>H3-H8+H28+H29+H31+H32</f>
        <v>0</v>
      </c>
      <c r="I33" s="229" t="s">
        <v>351</v>
      </c>
      <c r="J33" s="206">
        <v>64</v>
      </c>
      <c r="K33" s="207">
        <f t="shared" si="1"/>
        <v>0</v>
      </c>
      <c r="L33" s="231"/>
      <c r="M33" s="207"/>
      <c r="N33" s="207"/>
      <c r="O33" s="207"/>
      <c r="P33" s="207"/>
    </row>
    <row r="34" spans="1:16">
      <c r="A34" s="214" t="s">
        <v>352</v>
      </c>
      <c r="B34" s="206">
        <v>32</v>
      </c>
      <c r="C34" s="207">
        <f t="shared" si="0"/>
        <v>18.43</v>
      </c>
      <c r="D34" s="209">
        <v>18.43</v>
      </c>
      <c r="E34" s="209"/>
      <c r="F34" s="209"/>
      <c r="G34" s="209"/>
      <c r="H34" s="165"/>
      <c r="I34" s="232" t="s">
        <v>353</v>
      </c>
      <c r="J34" s="206">
        <v>65</v>
      </c>
      <c r="K34" s="207">
        <f t="shared" si="1"/>
        <v>0</v>
      </c>
      <c r="L34" s="225"/>
      <c r="M34" s="207"/>
      <c r="N34" s="207"/>
      <c r="O34" s="207"/>
      <c r="P34" s="207"/>
    </row>
    <row r="35" ht="15.75" spans="1:16">
      <c r="A35" s="217" t="s">
        <v>354</v>
      </c>
      <c r="B35" s="218">
        <v>33</v>
      </c>
      <c r="C35" s="219"/>
      <c r="D35" s="219"/>
      <c r="E35" s="219"/>
      <c r="F35" s="219"/>
      <c r="G35" s="219"/>
      <c r="H35" s="219"/>
      <c r="I35" s="233"/>
      <c r="J35" s="234">
        <v>66</v>
      </c>
      <c r="K35" s="207">
        <f t="shared" si="1"/>
        <v>0</v>
      </c>
      <c r="L35" s="233"/>
      <c r="M35" s="233"/>
      <c r="N35" s="233"/>
      <c r="O35" s="233"/>
      <c r="P35" s="233"/>
    </row>
    <row r="36" spans="1:16">
      <c r="A36" s="200" t="s">
        <v>509</v>
      </c>
      <c r="C36" s="220"/>
      <c r="D36" s="220"/>
      <c r="E36" s="220"/>
      <c r="F36" s="220"/>
      <c r="G36" s="220"/>
      <c r="H36" s="221">
        <v>6</v>
      </c>
      <c r="K36" s="220"/>
      <c r="L36" s="220"/>
      <c r="M36" s="220"/>
      <c r="N36" s="220"/>
      <c r="O36" s="220"/>
      <c r="P36" s="220"/>
    </row>
    <row r="37" spans="3:16">
      <c r="C37" s="220"/>
      <c r="D37" s="220"/>
      <c r="E37" s="220"/>
      <c r="F37" s="220"/>
      <c r="G37" s="220"/>
      <c r="H37" s="220"/>
      <c r="K37" s="220"/>
      <c r="L37" s="220"/>
      <c r="M37" s="220"/>
      <c r="N37" s="220"/>
      <c r="O37" s="220"/>
      <c r="P37" s="220"/>
    </row>
    <row r="38" ht="15.75" spans="3:16">
      <c r="C38" s="220"/>
      <c r="D38" s="220"/>
      <c r="E38" s="220"/>
      <c r="F38" s="220"/>
      <c r="G38" s="220"/>
      <c r="H38" s="220"/>
      <c r="K38" s="220"/>
      <c r="L38" s="220"/>
      <c r="M38" s="220"/>
      <c r="N38" s="220"/>
      <c r="O38" s="220"/>
      <c r="P38" s="220"/>
    </row>
    <row r="39" ht="13.5" spans="1:16">
      <c r="A39" s="202" t="s">
        <v>3</v>
      </c>
      <c r="B39" s="203" t="s">
        <v>4</v>
      </c>
      <c r="C39" s="204" t="s">
        <v>491</v>
      </c>
      <c r="D39" s="204" t="s">
        <v>501</v>
      </c>
      <c r="E39" s="204" t="s">
        <v>502</v>
      </c>
      <c r="F39" s="204" t="s">
        <v>503</v>
      </c>
      <c r="G39" s="204" t="s">
        <v>495</v>
      </c>
      <c r="H39" s="204" t="s">
        <v>496</v>
      </c>
      <c r="I39" s="203" t="s">
        <v>3</v>
      </c>
      <c r="J39" s="203" t="s">
        <v>4</v>
      </c>
      <c r="K39" s="204" t="s">
        <v>491</v>
      </c>
      <c r="L39" s="223" t="s">
        <v>501</v>
      </c>
      <c r="M39" s="223" t="s">
        <v>502</v>
      </c>
      <c r="N39" s="223" t="s">
        <v>503</v>
      </c>
      <c r="O39" s="223" t="s">
        <v>495</v>
      </c>
      <c r="P39" s="223" t="s">
        <v>496</v>
      </c>
    </row>
    <row r="40" spans="1:16">
      <c r="A40" s="205" t="s">
        <v>290</v>
      </c>
      <c r="B40" s="206">
        <v>1</v>
      </c>
      <c r="C40" s="207">
        <f>D40+E40</f>
        <v>7188578.24</v>
      </c>
      <c r="D40" s="207">
        <f>SUM(D41:D44)</f>
        <v>0</v>
      </c>
      <c r="E40" s="207">
        <f>SUM(E41:E44)</f>
        <v>7188578.24</v>
      </c>
      <c r="F40" s="207"/>
      <c r="G40" s="207"/>
      <c r="H40" s="207">
        <f>SUM(H41:H44)</f>
        <v>0</v>
      </c>
      <c r="I40" s="224" t="s">
        <v>291</v>
      </c>
      <c r="J40" s="206">
        <v>34</v>
      </c>
      <c r="K40" s="207">
        <f>L40+M40</f>
        <v>0</v>
      </c>
      <c r="L40" s="225"/>
      <c r="M40" s="225"/>
      <c r="N40" s="225"/>
      <c r="O40" s="207"/>
      <c r="P40" s="207"/>
    </row>
    <row r="41" spans="1:16">
      <c r="A41" s="208" t="s">
        <v>292</v>
      </c>
      <c r="B41" s="206">
        <v>2</v>
      </c>
      <c r="C41" s="207">
        <f t="shared" ref="C41:C71" si="2">D41+E41</f>
        <v>7188578.24</v>
      </c>
      <c r="D41" s="209"/>
      <c r="E41" s="209">
        <f>7188578.24</f>
        <v>7188578.24</v>
      </c>
      <c r="F41" s="222"/>
      <c r="G41" s="209"/>
      <c r="H41" s="165"/>
      <c r="I41" s="224" t="s">
        <v>293</v>
      </c>
      <c r="J41" s="206">
        <v>35</v>
      </c>
      <c r="K41" s="207">
        <f t="shared" ref="K41:K71" si="3">L41+M41</f>
        <v>2145440</v>
      </c>
      <c r="L41" s="207">
        <v>2145440</v>
      </c>
      <c r="M41" s="207"/>
      <c r="N41" s="207"/>
      <c r="O41" s="207"/>
      <c r="P41" s="207"/>
    </row>
    <row r="42" spans="1:16">
      <c r="A42" s="208" t="s">
        <v>294</v>
      </c>
      <c r="B42" s="206">
        <v>3</v>
      </c>
      <c r="C42" s="207">
        <f t="shared" si="2"/>
        <v>0</v>
      </c>
      <c r="D42" s="207"/>
      <c r="E42" s="207"/>
      <c r="F42" s="207"/>
      <c r="G42" s="207"/>
      <c r="H42" s="207">
        <v>0</v>
      </c>
      <c r="I42" s="224" t="s">
        <v>295</v>
      </c>
      <c r="J42" s="206">
        <v>36</v>
      </c>
      <c r="K42" s="207">
        <f t="shared" si="3"/>
        <v>0</v>
      </c>
      <c r="L42" s="207"/>
      <c r="M42" s="207"/>
      <c r="N42" s="207"/>
      <c r="O42" s="207"/>
      <c r="P42" s="207"/>
    </row>
    <row r="43" spans="1:16">
      <c r="A43" s="208" t="s">
        <v>296</v>
      </c>
      <c r="B43" s="206">
        <v>4</v>
      </c>
      <c r="C43" s="207">
        <f t="shared" si="2"/>
        <v>0</v>
      </c>
      <c r="D43" s="207"/>
      <c r="E43" s="207"/>
      <c r="F43" s="207"/>
      <c r="G43" s="207"/>
      <c r="H43" s="207">
        <v>0</v>
      </c>
      <c r="I43" s="224" t="s">
        <v>297</v>
      </c>
      <c r="J43" s="206">
        <v>37</v>
      </c>
      <c r="K43" s="207">
        <f t="shared" si="3"/>
        <v>10134.41</v>
      </c>
      <c r="L43" s="207">
        <v>10000</v>
      </c>
      <c r="M43" s="207">
        <v>134.41</v>
      </c>
      <c r="N43" s="207"/>
      <c r="O43" s="207"/>
      <c r="P43" s="166"/>
    </row>
    <row r="44" spans="1:16">
      <c r="A44" s="208" t="s">
        <v>298</v>
      </c>
      <c r="B44" s="206">
        <v>5</v>
      </c>
      <c r="C44" s="207">
        <f t="shared" si="2"/>
        <v>0</v>
      </c>
      <c r="D44" s="207"/>
      <c r="E44" s="207"/>
      <c r="F44" s="207"/>
      <c r="G44" s="207"/>
      <c r="H44" s="207">
        <v>0</v>
      </c>
      <c r="I44" s="224" t="s">
        <v>299</v>
      </c>
      <c r="J44" s="206">
        <v>38</v>
      </c>
      <c r="K44" s="207">
        <f t="shared" si="3"/>
        <v>0</v>
      </c>
      <c r="L44" s="207"/>
      <c r="M44" s="207"/>
      <c r="N44" s="207"/>
      <c r="O44" s="207"/>
      <c r="P44" s="207">
        <v>0</v>
      </c>
    </row>
    <row r="45" spans="1:16">
      <c r="A45" s="205" t="s">
        <v>300</v>
      </c>
      <c r="B45" s="206">
        <v>6</v>
      </c>
      <c r="C45" s="207">
        <f t="shared" si="2"/>
        <v>9514703.36</v>
      </c>
      <c r="D45" s="207">
        <f>SUM(D46:D56)+D59+D63+D64</f>
        <v>2898360.53</v>
      </c>
      <c r="E45" s="207">
        <f>SUM(E46:E56)+E59+E63+E64</f>
        <v>6616342.83</v>
      </c>
      <c r="F45" s="207"/>
      <c r="G45" s="207"/>
      <c r="H45" s="207">
        <f>SUM(H46:H56)+H59+H63+H64</f>
        <v>0</v>
      </c>
      <c r="I45" s="224" t="s">
        <v>301</v>
      </c>
      <c r="J45" s="206">
        <v>39</v>
      </c>
      <c r="K45" s="207">
        <f t="shared" si="3"/>
        <v>0</v>
      </c>
      <c r="L45" s="207"/>
      <c r="M45" s="207"/>
      <c r="N45" s="207"/>
      <c r="O45" s="207"/>
      <c r="P45" s="207"/>
    </row>
    <row r="46" spans="1:16">
      <c r="A46" s="210" t="s">
        <v>302</v>
      </c>
      <c r="B46" s="206">
        <v>7</v>
      </c>
      <c r="C46" s="207">
        <f t="shared" si="2"/>
        <v>5300198.79</v>
      </c>
      <c r="D46" s="207"/>
      <c r="E46" s="207">
        <v>5300198.79</v>
      </c>
      <c r="F46" s="207"/>
      <c r="G46" s="207"/>
      <c r="H46" s="165"/>
      <c r="I46" s="224" t="s">
        <v>303</v>
      </c>
      <c r="J46" s="206">
        <v>40</v>
      </c>
      <c r="K46" s="207">
        <f t="shared" si="3"/>
        <v>0</v>
      </c>
      <c r="L46" s="207"/>
      <c r="M46" s="207"/>
      <c r="N46" s="207"/>
      <c r="O46" s="207"/>
      <c r="P46" s="207"/>
    </row>
    <row r="47" spans="1:16">
      <c r="A47" s="210" t="s">
        <v>304</v>
      </c>
      <c r="B47" s="206">
        <v>8</v>
      </c>
      <c r="C47" s="207">
        <f t="shared" si="2"/>
        <v>0</v>
      </c>
      <c r="D47" s="207"/>
      <c r="E47" s="207"/>
      <c r="F47" s="207"/>
      <c r="G47" s="207"/>
      <c r="H47" s="207">
        <v>0</v>
      </c>
      <c r="I47" s="226" t="s">
        <v>305</v>
      </c>
      <c r="J47" s="206">
        <v>41</v>
      </c>
      <c r="K47" s="207">
        <f t="shared" si="3"/>
        <v>322554.1</v>
      </c>
      <c r="L47" s="207">
        <f>D70+D71-L43</f>
        <v>-341221.9</v>
      </c>
      <c r="M47" s="207">
        <f>E70+E71-M43</f>
        <v>663776</v>
      </c>
      <c r="N47" s="207">
        <f>F70+F71-N43</f>
        <v>0</v>
      </c>
      <c r="O47" s="207">
        <f>G70+G71-O43</f>
        <v>0</v>
      </c>
      <c r="P47" s="207">
        <f>H70+H71-P43</f>
        <v>0</v>
      </c>
    </row>
    <row r="48" spans="1:16">
      <c r="A48" s="210" t="s">
        <v>306</v>
      </c>
      <c r="B48" s="206">
        <v>9</v>
      </c>
      <c r="C48" s="207">
        <f t="shared" si="2"/>
        <v>0</v>
      </c>
      <c r="D48" s="207"/>
      <c r="E48" s="207"/>
      <c r="F48" s="207"/>
      <c r="G48" s="207"/>
      <c r="H48" s="207">
        <v>0</v>
      </c>
      <c r="I48" s="224" t="s">
        <v>307</v>
      </c>
      <c r="J48" s="206">
        <v>42</v>
      </c>
      <c r="K48" s="207">
        <f t="shared" si="3"/>
        <v>50390.05</v>
      </c>
      <c r="L48" s="207">
        <v>17672.63</v>
      </c>
      <c r="M48" s="207">
        <v>32717.42</v>
      </c>
      <c r="N48" s="207"/>
      <c r="O48" s="207"/>
      <c r="P48" s="207"/>
    </row>
    <row r="49" spans="1:16">
      <c r="A49" s="210" t="s">
        <v>308</v>
      </c>
      <c r="B49" s="206">
        <v>10</v>
      </c>
      <c r="C49" s="207">
        <f t="shared" si="2"/>
        <v>0</v>
      </c>
      <c r="D49" s="207"/>
      <c r="E49" s="207"/>
      <c r="F49" s="207"/>
      <c r="G49" s="207"/>
      <c r="H49" s="207">
        <v>0</v>
      </c>
      <c r="I49" s="226" t="s">
        <v>309</v>
      </c>
      <c r="J49" s="206">
        <v>43</v>
      </c>
      <c r="K49" s="207">
        <f t="shared" si="3"/>
        <v>272164.05</v>
      </c>
      <c r="L49" s="207">
        <f t="shared" ref="L49:P49" si="4">L47-L48</f>
        <v>-358894.53</v>
      </c>
      <c r="M49" s="207">
        <f t="shared" si="4"/>
        <v>631058.58</v>
      </c>
      <c r="N49" s="207">
        <f t="shared" si="4"/>
        <v>0</v>
      </c>
      <c r="O49" s="207">
        <f t="shared" si="4"/>
        <v>0</v>
      </c>
      <c r="P49" s="207">
        <f t="shared" si="4"/>
        <v>0</v>
      </c>
    </row>
    <row r="50" spans="1:16">
      <c r="A50" s="210" t="s">
        <v>310</v>
      </c>
      <c r="B50" s="206">
        <v>11</v>
      </c>
      <c r="C50" s="207">
        <f t="shared" si="2"/>
        <v>0</v>
      </c>
      <c r="D50" s="207"/>
      <c r="E50" s="207"/>
      <c r="F50" s="207"/>
      <c r="G50" s="207"/>
      <c r="H50" s="207">
        <v>0</v>
      </c>
      <c r="I50" s="224" t="s">
        <v>311</v>
      </c>
      <c r="J50" s="206">
        <v>44</v>
      </c>
      <c r="K50" s="207">
        <f t="shared" si="3"/>
        <v>0</v>
      </c>
      <c r="L50" s="207"/>
      <c r="M50" s="207"/>
      <c r="N50" s="207"/>
      <c r="O50" s="207"/>
      <c r="P50" s="207"/>
    </row>
    <row r="51" spans="1:16">
      <c r="A51" s="210" t="s">
        <v>312</v>
      </c>
      <c r="B51" s="206">
        <v>12</v>
      </c>
      <c r="C51" s="207">
        <f t="shared" si="2"/>
        <v>0</v>
      </c>
      <c r="D51" s="207"/>
      <c r="E51" s="211"/>
      <c r="F51" s="207"/>
      <c r="G51" s="207"/>
      <c r="H51" s="207">
        <v>0</v>
      </c>
      <c r="I51" s="224" t="s">
        <v>313</v>
      </c>
      <c r="J51" s="206">
        <v>45</v>
      </c>
      <c r="K51" s="207">
        <f t="shared" si="3"/>
        <v>0</v>
      </c>
      <c r="L51" s="228"/>
      <c r="M51" s="228"/>
      <c r="N51" s="228"/>
      <c r="O51" s="228"/>
      <c r="P51" s="228"/>
    </row>
    <row r="52" spans="1:16">
      <c r="A52" s="210" t="s">
        <v>314</v>
      </c>
      <c r="B52" s="206">
        <v>13</v>
      </c>
      <c r="C52" s="207">
        <f t="shared" si="2"/>
        <v>0</v>
      </c>
      <c r="D52" s="207"/>
      <c r="E52" s="207"/>
      <c r="F52" s="207"/>
      <c r="G52" s="207"/>
      <c r="H52" s="207">
        <v>0</v>
      </c>
      <c r="I52" s="224" t="s">
        <v>315</v>
      </c>
      <c r="J52" s="206">
        <v>46</v>
      </c>
      <c r="K52" s="207">
        <f t="shared" si="3"/>
        <v>0</v>
      </c>
      <c r="L52" s="207"/>
      <c r="M52" s="207"/>
      <c r="N52" s="207"/>
      <c r="O52" s="207"/>
      <c r="P52" s="207"/>
    </row>
    <row r="53" spans="1:16">
      <c r="A53" s="210" t="s">
        <v>316</v>
      </c>
      <c r="B53" s="206">
        <v>14</v>
      </c>
      <c r="C53" s="207">
        <f t="shared" si="2"/>
        <v>0</v>
      </c>
      <c r="D53" s="207"/>
      <c r="E53" s="207"/>
      <c r="F53" s="207"/>
      <c r="G53" s="207"/>
      <c r="H53" s="207">
        <v>0</v>
      </c>
      <c r="I53" s="224" t="s">
        <v>317</v>
      </c>
      <c r="J53" s="206">
        <v>47</v>
      </c>
      <c r="K53" s="207">
        <f t="shared" si="3"/>
        <v>0</v>
      </c>
      <c r="L53" s="207"/>
      <c r="M53" s="207"/>
      <c r="N53" s="207"/>
      <c r="O53" s="207"/>
      <c r="P53" s="207"/>
    </row>
    <row r="54" spans="1:16">
      <c r="A54" s="210" t="s">
        <v>318</v>
      </c>
      <c r="B54" s="206">
        <v>15</v>
      </c>
      <c r="C54" s="207">
        <f t="shared" si="2"/>
        <v>43684.3</v>
      </c>
      <c r="D54" s="207"/>
      <c r="E54" s="211">
        <v>43684.3</v>
      </c>
      <c r="F54" s="207"/>
      <c r="G54" s="207"/>
      <c r="H54" s="165"/>
      <c r="I54" s="226" t="s">
        <v>319</v>
      </c>
      <c r="J54" s="206">
        <v>48</v>
      </c>
      <c r="K54" s="207">
        <f t="shared" si="3"/>
        <v>0</v>
      </c>
      <c r="L54" s="207"/>
      <c r="M54" s="207"/>
      <c r="N54" s="207"/>
      <c r="O54" s="207"/>
      <c r="P54" s="207">
        <v>0</v>
      </c>
    </row>
    <row r="55" spans="1:16">
      <c r="A55" s="210" t="s">
        <v>320</v>
      </c>
      <c r="B55" s="206">
        <v>16</v>
      </c>
      <c r="C55" s="207">
        <f t="shared" si="2"/>
        <v>0</v>
      </c>
      <c r="D55" s="207"/>
      <c r="E55" s="207"/>
      <c r="F55" s="207"/>
      <c r="G55" s="207"/>
      <c r="I55" s="224" t="s">
        <v>321</v>
      </c>
      <c r="J55" s="206">
        <v>49</v>
      </c>
      <c r="K55" s="207">
        <f t="shared" si="3"/>
        <v>0</v>
      </c>
      <c r="L55" s="225"/>
      <c r="M55" s="225"/>
      <c r="N55" s="225"/>
      <c r="O55" s="207"/>
      <c r="P55" s="207">
        <v>0</v>
      </c>
    </row>
    <row r="56" spans="1:16">
      <c r="A56" s="210" t="s">
        <v>322</v>
      </c>
      <c r="B56" s="206">
        <v>17</v>
      </c>
      <c r="C56" s="207">
        <f t="shared" si="2"/>
        <v>4325033.5</v>
      </c>
      <c r="D56" s="209">
        <v>3038673.07</v>
      </c>
      <c r="E56" s="209">
        <v>1286360.43</v>
      </c>
      <c r="F56" s="209"/>
      <c r="G56" s="209"/>
      <c r="H56" s="165"/>
      <c r="I56" s="224" t="s">
        <v>323</v>
      </c>
      <c r="J56" s="206">
        <v>50</v>
      </c>
      <c r="K56" s="207">
        <f t="shared" si="3"/>
        <v>0</v>
      </c>
      <c r="L56" s="225"/>
      <c r="M56" s="225"/>
      <c r="N56" s="225"/>
      <c r="O56" s="207"/>
      <c r="P56" s="207">
        <v>0</v>
      </c>
    </row>
    <row r="57" spans="1:16">
      <c r="A57" s="210" t="s">
        <v>324</v>
      </c>
      <c r="B57" s="206">
        <v>18</v>
      </c>
      <c r="C57" s="207">
        <f t="shared" si="2"/>
        <v>0</v>
      </c>
      <c r="D57" s="207"/>
      <c r="E57" s="207"/>
      <c r="F57" s="207"/>
      <c r="G57" s="207"/>
      <c r="H57" s="207"/>
      <c r="I57" s="224" t="s">
        <v>325</v>
      </c>
      <c r="J57" s="206">
        <v>51</v>
      </c>
      <c r="K57" s="207">
        <f t="shared" si="3"/>
        <v>0</v>
      </c>
      <c r="L57" s="225"/>
      <c r="M57" s="225"/>
      <c r="N57" s="225"/>
      <c r="O57" s="207"/>
      <c r="P57" s="207">
        <v>0</v>
      </c>
    </row>
    <row r="58" ht="27" spans="1:16">
      <c r="A58" s="210" t="s">
        <v>326</v>
      </c>
      <c r="B58" s="206">
        <v>19</v>
      </c>
      <c r="C58" s="207">
        <f t="shared" si="2"/>
        <v>0</v>
      </c>
      <c r="D58" s="207"/>
      <c r="E58" s="207"/>
      <c r="F58" s="207"/>
      <c r="G58" s="207"/>
      <c r="H58" s="207"/>
      <c r="I58" s="229" t="s">
        <v>327</v>
      </c>
      <c r="J58" s="206">
        <v>52</v>
      </c>
      <c r="K58" s="207">
        <f t="shared" si="3"/>
        <v>0</v>
      </c>
      <c r="L58" s="225"/>
      <c r="M58" s="225"/>
      <c r="N58" s="225"/>
      <c r="O58" s="207"/>
      <c r="P58" s="207"/>
    </row>
    <row r="59" spans="1:16">
      <c r="A59" s="210" t="s">
        <v>328</v>
      </c>
      <c r="B59" s="206">
        <v>20</v>
      </c>
      <c r="C59" s="207">
        <f t="shared" si="2"/>
        <v>-144785.71</v>
      </c>
      <c r="D59" s="207">
        <f>D60+D61</f>
        <v>-140312.54</v>
      </c>
      <c r="E59" s="207">
        <f>E60+E61</f>
        <v>-4473.17</v>
      </c>
      <c r="F59" s="207"/>
      <c r="G59" s="207"/>
      <c r="H59" s="165"/>
      <c r="I59" s="224" t="s">
        <v>329</v>
      </c>
      <c r="J59" s="206">
        <v>53</v>
      </c>
      <c r="K59" s="207">
        <f t="shared" si="3"/>
        <v>0</v>
      </c>
      <c r="L59" s="225"/>
      <c r="M59" s="225"/>
      <c r="N59" s="225"/>
      <c r="O59" s="207"/>
      <c r="P59" s="207">
        <v>0</v>
      </c>
    </row>
    <row r="60" ht="27" spans="1:16">
      <c r="A60" s="210" t="s">
        <v>330</v>
      </c>
      <c r="B60" s="206">
        <v>21</v>
      </c>
      <c r="C60" s="207">
        <f t="shared" si="2"/>
        <v>2357.5</v>
      </c>
      <c r="D60" s="213">
        <v>1522.5</v>
      </c>
      <c r="E60" s="213">
        <v>835</v>
      </c>
      <c r="F60" s="213"/>
      <c r="G60" s="213"/>
      <c r="H60" s="213"/>
      <c r="I60" s="229" t="s">
        <v>331</v>
      </c>
      <c r="J60" s="206">
        <v>54</v>
      </c>
      <c r="K60" s="207">
        <f t="shared" si="3"/>
        <v>0</v>
      </c>
      <c r="L60" s="225"/>
      <c r="M60" s="225"/>
      <c r="N60" s="225"/>
      <c r="O60" s="207"/>
      <c r="P60" s="207">
        <v>0</v>
      </c>
    </row>
    <row r="61" spans="1:16">
      <c r="A61" s="210" t="s">
        <v>332</v>
      </c>
      <c r="B61" s="206">
        <v>22</v>
      </c>
      <c r="C61" s="207">
        <f t="shared" si="2"/>
        <v>-147143.21</v>
      </c>
      <c r="D61" s="213">
        <v>-141835.04</v>
      </c>
      <c r="E61" s="213">
        <v>-5308.17</v>
      </c>
      <c r="F61" s="213"/>
      <c r="G61" s="213"/>
      <c r="H61" s="213"/>
      <c r="I61" s="224" t="s">
        <v>333</v>
      </c>
      <c r="J61" s="206">
        <v>55</v>
      </c>
      <c r="K61" s="207">
        <f t="shared" si="3"/>
        <v>0</v>
      </c>
      <c r="L61" s="225"/>
      <c r="M61" s="225"/>
      <c r="N61" s="225"/>
      <c r="O61" s="207"/>
      <c r="P61" s="207">
        <v>0</v>
      </c>
    </row>
    <row r="62" spans="1:16">
      <c r="A62" s="210" t="s">
        <v>504</v>
      </c>
      <c r="B62" s="206">
        <v>23</v>
      </c>
      <c r="C62" s="207">
        <f t="shared" si="2"/>
        <v>0</v>
      </c>
      <c r="D62" s="207"/>
      <c r="E62" s="207"/>
      <c r="F62" s="207"/>
      <c r="G62" s="207"/>
      <c r="H62" s="207"/>
      <c r="I62" s="224" t="s">
        <v>335</v>
      </c>
      <c r="J62" s="206">
        <v>56</v>
      </c>
      <c r="K62" s="207">
        <f t="shared" si="3"/>
        <v>0</v>
      </c>
      <c r="L62" s="225"/>
      <c r="M62" s="225"/>
      <c r="N62" s="225"/>
      <c r="O62" s="207"/>
      <c r="P62" s="207">
        <v>0</v>
      </c>
    </row>
    <row r="63" spans="1:16">
      <c r="A63" s="210" t="s">
        <v>336</v>
      </c>
      <c r="B63" s="206">
        <v>24</v>
      </c>
      <c r="C63" s="207">
        <f t="shared" si="2"/>
        <v>-9427.52</v>
      </c>
      <c r="D63" s="207"/>
      <c r="E63" s="207">
        <v>-9427.52</v>
      </c>
      <c r="F63" s="207"/>
      <c r="G63" s="207"/>
      <c r="H63" s="207"/>
      <c r="I63" s="224" t="s">
        <v>337</v>
      </c>
      <c r="J63" s="206">
        <v>57</v>
      </c>
      <c r="K63" s="207">
        <f t="shared" si="3"/>
        <v>0</v>
      </c>
      <c r="L63" s="225"/>
      <c r="M63" s="225"/>
      <c r="N63" s="225"/>
      <c r="O63" s="207"/>
      <c r="P63" s="207">
        <v>0</v>
      </c>
    </row>
    <row r="64" spans="1:16">
      <c r="A64" s="210" t="s">
        <v>338</v>
      </c>
      <c r="B64" s="206">
        <v>25</v>
      </c>
      <c r="C64" s="207">
        <f t="shared" si="2"/>
        <v>0</v>
      </c>
      <c r="D64" s="207"/>
      <c r="E64" s="207"/>
      <c r="F64" s="207"/>
      <c r="G64" s="207"/>
      <c r="H64" s="207">
        <v>0</v>
      </c>
      <c r="I64" s="224" t="s">
        <v>339</v>
      </c>
      <c r="J64" s="206">
        <v>58</v>
      </c>
      <c r="K64" s="207">
        <f t="shared" si="3"/>
        <v>0</v>
      </c>
      <c r="L64" s="225"/>
      <c r="M64" s="225"/>
      <c r="N64" s="225"/>
      <c r="O64" s="207"/>
      <c r="P64" s="207"/>
    </row>
    <row r="65" spans="1:16">
      <c r="A65" s="210" t="s">
        <v>340</v>
      </c>
      <c r="B65" s="206">
        <v>26</v>
      </c>
      <c r="C65" s="207">
        <f t="shared" si="2"/>
        <v>0</v>
      </c>
      <c r="D65" s="207"/>
      <c r="E65" s="207"/>
      <c r="F65" s="207"/>
      <c r="G65" s="207"/>
      <c r="H65" s="207">
        <v>0</v>
      </c>
      <c r="I65" s="224" t="s">
        <v>341</v>
      </c>
      <c r="J65" s="206">
        <v>59</v>
      </c>
      <c r="K65" s="207">
        <f t="shared" si="3"/>
        <v>0</v>
      </c>
      <c r="L65" s="225"/>
      <c r="M65" s="225"/>
      <c r="N65" s="225"/>
      <c r="O65" s="207"/>
      <c r="P65" s="207"/>
    </row>
    <row r="66" spans="1:16">
      <c r="A66" s="210" t="s">
        <v>505</v>
      </c>
      <c r="B66" s="206">
        <v>27</v>
      </c>
      <c r="C66" s="207">
        <f t="shared" si="2"/>
        <v>421698.63</v>
      </c>
      <c r="D66" s="207">
        <v>421698.63</v>
      </c>
      <c r="E66" s="207"/>
      <c r="F66" s="207"/>
      <c r="G66" s="207"/>
      <c r="H66" s="207"/>
      <c r="I66" s="226" t="s">
        <v>343</v>
      </c>
      <c r="J66" s="206">
        <v>60</v>
      </c>
      <c r="K66" s="207">
        <f t="shared" si="3"/>
        <v>272164.05</v>
      </c>
      <c r="L66" s="207">
        <f t="shared" ref="L66:P66" si="5">L67+L68</f>
        <v>-358894.53</v>
      </c>
      <c r="M66" s="207">
        <f t="shared" si="5"/>
        <v>631058.58</v>
      </c>
      <c r="N66" s="207">
        <f t="shared" si="5"/>
        <v>0</v>
      </c>
      <c r="O66" s="207">
        <f t="shared" si="5"/>
        <v>0</v>
      </c>
      <c r="P66" s="207">
        <f t="shared" si="5"/>
        <v>393542.09</v>
      </c>
    </row>
    <row r="67" spans="1:16">
      <c r="A67" s="210" t="s">
        <v>506</v>
      </c>
      <c r="B67" s="206">
        <v>28</v>
      </c>
      <c r="C67" s="207">
        <f t="shared" si="2"/>
        <v>0</v>
      </c>
      <c r="D67" s="207"/>
      <c r="E67" s="207"/>
      <c r="F67" s="207"/>
      <c r="G67" s="207"/>
      <c r="H67" s="207">
        <v>0</v>
      </c>
      <c r="I67" s="224" t="s">
        <v>345</v>
      </c>
      <c r="J67" s="206">
        <v>61</v>
      </c>
      <c r="K67" s="207">
        <f t="shared" si="3"/>
        <v>272164.05</v>
      </c>
      <c r="L67" s="207">
        <f>L49</f>
        <v>-358894.53</v>
      </c>
      <c r="M67" s="207">
        <f t="shared" ref="L67:M67" si="6">M49</f>
        <v>631058.58</v>
      </c>
      <c r="N67" s="207"/>
      <c r="O67" s="207"/>
      <c r="P67" s="207">
        <v>393542.09</v>
      </c>
    </row>
    <row r="68" spans="1:16">
      <c r="A68" s="210" t="s">
        <v>507</v>
      </c>
      <c r="B68" s="206">
        <v>29</v>
      </c>
      <c r="C68" s="207">
        <f t="shared" si="2"/>
        <v>0</v>
      </c>
      <c r="D68" s="207"/>
      <c r="E68" s="207"/>
      <c r="F68" s="207"/>
      <c r="G68" s="207"/>
      <c r="H68" s="207">
        <v>0</v>
      </c>
      <c r="I68" s="224" t="s">
        <v>347</v>
      </c>
      <c r="J68" s="206">
        <v>62</v>
      </c>
      <c r="K68" s="207">
        <f t="shared" si="3"/>
        <v>0</v>
      </c>
      <c r="L68" s="225"/>
      <c r="M68" s="225"/>
      <c r="N68" s="225"/>
      <c r="O68" s="207"/>
      <c r="P68" s="207"/>
    </row>
    <row r="69" spans="1:16">
      <c r="A69" s="214" t="s">
        <v>348</v>
      </c>
      <c r="B69" s="215">
        <v>30</v>
      </c>
      <c r="C69" s="207">
        <f t="shared" si="2"/>
        <v>0</v>
      </c>
      <c r="D69" s="216"/>
      <c r="E69" s="216"/>
      <c r="F69" s="216"/>
      <c r="G69" s="216"/>
      <c r="H69" s="216"/>
      <c r="I69" s="230" t="s">
        <v>349</v>
      </c>
      <c r="J69" s="206">
        <v>63</v>
      </c>
      <c r="K69" s="207">
        <f t="shared" si="3"/>
        <v>0</v>
      </c>
      <c r="L69" s="231"/>
      <c r="M69" s="231"/>
      <c r="N69" s="231"/>
      <c r="O69" s="207"/>
      <c r="P69" s="207"/>
    </row>
    <row r="70" spans="1:16">
      <c r="A70" s="205" t="s">
        <v>508</v>
      </c>
      <c r="B70" s="215">
        <v>31</v>
      </c>
      <c r="C70" s="207">
        <f t="shared" si="2"/>
        <v>-1904426.49</v>
      </c>
      <c r="D70" s="216">
        <f>D40-D45+D65+D66+D68+D69</f>
        <v>-2476661.9</v>
      </c>
      <c r="E70" s="216">
        <f>E40-E45+E65+E66+E68+E69</f>
        <v>572235.41</v>
      </c>
      <c r="F70" s="216"/>
      <c r="G70" s="216"/>
      <c r="H70" s="216">
        <f>H40-H45+H65+H66+H68+H69</f>
        <v>0</v>
      </c>
      <c r="I70" s="229" t="s">
        <v>351</v>
      </c>
      <c r="J70" s="206">
        <v>64</v>
      </c>
      <c r="K70" s="207">
        <f t="shared" si="3"/>
        <v>0</v>
      </c>
      <c r="L70" s="231"/>
      <c r="M70" s="231"/>
      <c r="N70" s="231"/>
      <c r="O70" s="207"/>
      <c r="P70" s="207"/>
    </row>
    <row r="71" spans="1:16">
      <c r="A71" s="214" t="s">
        <v>352</v>
      </c>
      <c r="B71" s="206">
        <v>32</v>
      </c>
      <c r="C71" s="207">
        <f t="shared" si="2"/>
        <v>2237115</v>
      </c>
      <c r="D71" s="209">
        <v>2145440</v>
      </c>
      <c r="E71" s="209">
        <v>91675</v>
      </c>
      <c r="F71" s="209"/>
      <c r="G71" s="209"/>
      <c r="H71" s="165"/>
      <c r="I71" s="232" t="s">
        <v>353</v>
      </c>
      <c r="J71" s="206">
        <v>65</v>
      </c>
      <c r="K71" s="207">
        <f t="shared" si="3"/>
        <v>0</v>
      </c>
      <c r="L71" s="225"/>
      <c r="M71" s="225"/>
      <c r="N71" s="225"/>
      <c r="O71" s="207"/>
      <c r="P71" s="207"/>
    </row>
    <row r="72" ht="15.75" spans="1:16">
      <c r="A72" s="217" t="s">
        <v>354</v>
      </c>
      <c r="B72" s="218">
        <v>33</v>
      </c>
      <c r="C72" s="219"/>
      <c r="D72" s="219"/>
      <c r="E72" s="219"/>
      <c r="F72" s="219"/>
      <c r="G72" s="219"/>
      <c r="H72" s="219"/>
      <c r="I72" s="233"/>
      <c r="J72" s="218">
        <v>66</v>
      </c>
      <c r="K72" s="219"/>
      <c r="L72" s="237"/>
      <c r="M72" s="237"/>
      <c r="N72" s="237"/>
      <c r="O72" s="237"/>
      <c r="P72" s="237"/>
    </row>
    <row r="73" spans="1:16">
      <c r="A73" s="200" t="s">
        <v>509</v>
      </c>
      <c r="C73" s="220"/>
      <c r="D73" s="220"/>
      <c r="E73" s="220"/>
      <c r="F73" s="220"/>
      <c r="G73" s="220"/>
      <c r="H73" s="221">
        <v>6</v>
      </c>
      <c r="K73" s="220"/>
      <c r="L73" s="220"/>
      <c r="M73" s="220"/>
      <c r="N73" s="220"/>
      <c r="O73" s="220"/>
      <c r="P73" s="220"/>
    </row>
    <row r="76" spans="11:11">
      <c r="K76" s="201">
        <v>-357672.15</v>
      </c>
    </row>
    <row r="80" spans="12:12">
      <c r="L80" s="201">
        <f>K76+M49</f>
        <v>273386.43</v>
      </c>
    </row>
  </sheetData>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67"/>
  <sheetViews>
    <sheetView zoomScale="60" zoomScaleNormal="60" workbookViewId="0">
      <pane ySplit="1" topLeftCell="A8" activePane="bottomLeft" state="frozen"/>
      <selection/>
      <selection pane="bottomLeft" activeCell="L30" sqref="L30"/>
    </sheetView>
  </sheetViews>
  <sheetFormatPr defaultColWidth="9" defaultRowHeight="15"/>
  <cols>
    <col min="1" max="1" width="40.75" style="137" customWidth="1"/>
    <col min="2" max="2" width="5.625" style="137" customWidth="1"/>
    <col min="3" max="3" width="16" style="138" customWidth="1"/>
    <col min="4" max="4" width="14.125" style="136" customWidth="1"/>
    <col min="5" max="6" width="14.375" style="136" customWidth="1"/>
    <col min="7" max="7" width="58.25" style="137" customWidth="1"/>
    <col min="8" max="8" width="5.625" style="137" customWidth="1"/>
    <col min="9" max="9" width="17.125" style="138" customWidth="1"/>
    <col min="10" max="10" width="14.125" style="136" customWidth="1"/>
    <col min="11" max="11" width="18.0333333333333" style="136" customWidth="1"/>
    <col min="12" max="12" width="14.375" style="136" customWidth="1"/>
    <col min="13" max="13" width="16.125" style="137"/>
    <col min="14" max="14" width="12.8" style="137"/>
    <col min="15" max="16384" width="9" style="137"/>
  </cols>
  <sheetData>
    <row r="1" ht="30" customHeight="1" spans="1:12">
      <c r="A1" s="385" t="s">
        <v>360</v>
      </c>
      <c r="B1" s="386" t="s">
        <v>4</v>
      </c>
      <c r="C1" s="123" t="s">
        <v>491</v>
      </c>
      <c r="D1" s="124" t="s">
        <v>492</v>
      </c>
      <c r="E1" s="124" t="s">
        <v>493</v>
      </c>
      <c r="F1" s="124" t="s">
        <v>494</v>
      </c>
      <c r="G1" s="386" t="s">
        <v>363</v>
      </c>
      <c r="H1" s="386" t="s">
        <v>4</v>
      </c>
      <c r="I1" s="123" t="s">
        <v>491</v>
      </c>
      <c r="J1" s="124" t="s">
        <v>492</v>
      </c>
      <c r="K1" s="179" t="s">
        <v>510</v>
      </c>
      <c r="L1" s="179" t="s">
        <v>511</v>
      </c>
    </row>
    <row r="2" s="135" customFormat="1" ht="20.1" customHeight="1" spans="1:12">
      <c r="A2" s="387" t="s">
        <v>364</v>
      </c>
      <c r="B2" s="376" t="s">
        <v>8</v>
      </c>
      <c r="C2" s="143"/>
      <c r="D2" s="144"/>
      <c r="E2" s="388" t="s">
        <v>365</v>
      </c>
      <c r="F2" s="144"/>
      <c r="G2" s="145" t="s">
        <v>366</v>
      </c>
      <c r="H2" s="376" t="s">
        <v>125</v>
      </c>
      <c r="I2" s="143">
        <f>K2+J2+L2</f>
        <v>0</v>
      </c>
      <c r="J2" s="83"/>
      <c r="K2" s="180"/>
      <c r="L2" s="180"/>
    </row>
    <row r="3" s="135" customFormat="1" ht="20.1" customHeight="1" spans="1:12">
      <c r="A3" s="389" t="s">
        <v>367</v>
      </c>
      <c r="B3" s="376" t="s">
        <v>13</v>
      </c>
      <c r="C3" s="147">
        <f>E3+D3+F3</f>
        <v>12926231.62</v>
      </c>
      <c r="D3" s="148">
        <v>9108910.88</v>
      </c>
      <c r="E3" s="148">
        <v>3713089.4</v>
      </c>
      <c r="F3" s="149">
        <v>104231.34</v>
      </c>
      <c r="G3" s="390" t="s">
        <v>368</v>
      </c>
      <c r="H3" s="376" t="s">
        <v>129</v>
      </c>
      <c r="I3" s="143">
        <f>K3+J3+L3</f>
        <v>0</v>
      </c>
      <c r="J3" s="83">
        <v>0</v>
      </c>
      <c r="K3" s="180">
        <v>0</v>
      </c>
      <c r="L3" s="180"/>
    </row>
    <row r="4" s="135" customFormat="1" ht="20.1" customHeight="1" spans="1:12">
      <c r="A4" s="150" t="s">
        <v>369</v>
      </c>
      <c r="B4" s="376" t="s">
        <v>17</v>
      </c>
      <c r="C4" s="147">
        <f t="shared" ref="C4:C30" si="0">E4+D4+F4</f>
        <v>0</v>
      </c>
      <c r="D4" s="83">
        <v>0</v>
      </c>
      <c r="E4" s="83">
        <v>0</v>
      </c>
      <c r="F4" s="83"/>
      <c r="G4" s="390" t="s">
        <v>370</v>
      </c>
      <c r="H4" s="376" t="s">
        <v>133</v>
      </c>
      <c r="I4" s="143">
        <f>K4+J4+L4</f>
        <v>0</v>
      </c>
      <c r="J4" s="165"/>
      <c r="K4" s="180"/>
      <c r="L4" s="180"/>
    </row>
    <row r="5" s="135" customFormat="1" ht="20.1" customHeight="1" spans="1:12">
      <c r="A5" s="150" t="s">
        <v>371</v>
      </c>
      <c r="B5" s="376" t="s">
        <v>21</v>
      </c>
      <c r="C5" s="147">
        <f t="shared" si="0"/>
        <v>0</v>
      </c>
      <c r="D5" s="83">
        <v>0</v>
      </c>
      <c r="E5" s="83">
        <v>0</v>
      </c>
      <c r="F5" s="83"/>
      <c r="G5" s="391" t="s">
        <v>372</v>
      </c>
      <c r="H5" s="376" t="s">
        <v>137</v>
      </c>
      <c r="I5" s="181">
        <f>K5+J5+L5</f>
        <v>46150000</v>
      </c>
      <c r="J5" s="160">
        <f>D29+D30+SUM(J2:J4)</f>
        <v>46150000</v>
      </c>
      <c r="K5" s="182">
        <f>E29+E30+SUM(K2:K4)</f>
        <v>0</v>
      </c>
      <c r="L5" s="182"/>
    </row>
    <row r="6" s="135" customFormat="1" ht="20.1" customHeight="1" spans="1:12">
      <c r="A6" s="150" t="s">
        <v>373</v>
      </c>
      <c r="B6" s="376" t="s">
        <v>25</v>
      </c>
      <c r="C6" s="147">
        <f t="shared" si="0"/>
        <v>0</v>
      </c>
      <c r="D6" s="83">
        <v>0</v>
      </c>
      <c r="E6" s="83">
        <v>0</v>
      </c>
      <c r="F6" s="83"/>
      <c r="G6" s="145" t="s">
        <v>374</v>
      </c>
      <c r="H6" s="376" t="s">
        <v>141</v>
      </c>
      <c r="I6" s="143">
        <f>K6+J6+L6</f>
        <v>636823.42</v>
      </c>
      <c r="J6" s="165">
        <v>97133</v>
      </c>
      <c r="K6" s="180">
        <v>102950.54</v>
      </c>
      <c r="L6" s="180">
        <v>436739.88</v>
      </c>
    </row>
    <row r="7" s="135" customFormat="1" ht="20.1" customHeight="1" spans="1:12">
      <c r="A7" s="150" t="s">
        <v>375</v>
      </c>
      <c r="B7" s="376" t="s">
        <v>29</v>
      </c>
      <c r="C7" s="147">
        <f t="shared" si="0"/>
        <v>0</v>
      </c>
      <c r="D7" s="83">
        <v>0</v>
      </c>
      <c r="E7" s="83">
        <v>0</v>
      </c>
      <c r="F7" s="83"/>
      <c r="G7" s="390" t="s">
        <v>376</v>
      </c>
      <c r="H7" s="376" t="s">
        <v>145</v>
      </c>
      <c r="I7" s="143">
        <f>K7+J7+L7-2000000</f>
        <v>0</v>
      </c>
      <c r="J7" s="83">
        <v>2000000</v>
      </c>
      <c r="K7" s="180"/>
      <c r="L7" s="180"/>
    </row>
    <row r="8" s="135" customFormat="1" ht="20.1" customHeight="1" spans="1:12">
      <c r="A8" s="150" t="s">
        <v>377</v>
      </c>
      <c r="B8" s="376" t="s">
        <v>33</v>
      </c>
      <c r="C8" s="147">
        <f t="shared" si="0"/>
        <v>0</v>
      </c>
      <c r="D8" s="83">
        <v>0</v>
      </c>
      <c r="E8" s="83">
        <v>0</v>
      </c>
      <c r="F8" s="83"/>
      <c r="G8" s="152" t="s">
        <v>378</v>
      </c>
      <c r="H8" s="376" t="s">
        <v>149</v>
      </c>
      <c r="I8" s="143">
        <f t="shared" ref="I7:I12" si="1">K8+J8+L8</f>
        <v>0</v>
      </c>
      <c r="J8" s="83">
        <v>0</v>
      </c>
      <c r="K8" s="180">
        <v>0</v>
      </c>
      <c r="L8" s="180"/>
    </row>
    <row r="9" s="135" customFormat="1" ht="20.1" customHeight="1" spans="1:12">
      <c r="A9" s="153" t="s">
        <v>379</v>
      </c>
      <c r="B9" s="376" t="s">
        <v>37</v>
      </c>
      <c r="C9" s="147">
        <f t="shared" si="0"/>
        <v>0</v>
      </c>
      <c r="D9" s="83">
        <v>0</v>
      </c>
      <c r="E9" s="83">
        <v>0</v>
      </c>
      <c r="F9" s="83"/>
      <c r="G9" s="390" t="s">
        <v>380</v>
      </c>
      <c r="H9" s="376" t="s">
        <v>153</v>
      </c>
      <c r="I9" s="143">
        <f t="shared" si="1"/>
        <v>0</v>
      </c>
      <c r="J9" s="83">
        <v>0</v>
      </c>
      <c r="K9" s="180">
        <v>0</v>
      </c>
      <c r="L9" s="180"/>
    </row>
    <row r="10" s="135" customFormat="1" ht="20.1" customHeight="1" spans="1:12">
      <c r="A10" s="153" t="s">
        <v>381</v>
      </c>
      <c r="B10" s="376" t="s">
        <v>41</v>
      </c>
      <c r="C10" s="147">
        <f t="shared" si="0"/>
        <v>0</v>
      </c>
      <c r="D10" s="83">
        <v>0</v>
      </c>
      <c r="E10" s="83">
        <v>0</v>
      </c>
      <c r="F10" s="83"/>
      <c r="G10" s="390" t="s">
        <v>382</v>
      </c>
      <c r="H10" s="376" t="s">
        <v>157</v>
      </c>
      <c r="I10" s="143">
        <f t="shared" si="1"/>
        <v>0</v>
      </c>
      <c r="J10" s="165"/>
      <c r="K10" s="180"/>
      <c r="L10" s="180"/>
    </row>
    <row r="11" s="135" customFormat="1" ht="20.1" customHeight="1" spans="1:12">
      <c r="A11" s="153" t="s">
        <v>383</v>
      </c>
      <c r="B11" s="376" t="s">
        <v>45</v>
      </c>
      <c r="C11" s="147">
        <f t="shared" si="0"/>
        <v>0</v>
      </c>
      <c r="D11" s="83">
        <v>0</v>
      </c>
      <c r="E11" s="83">
        <v>0</v>
      </c>
      <c r="F11" s="83"/>
      <c r="G11" s="391" t="s">
        <v>384</v>
      </c>
      <c r="H11" s="376" t="s">
        <v>161</v>
      </c>
      <c r="I11" s="181">
        <f>K11+J11+L11-2000000</f>
        <v>636823.42</v>
      </c>
      <c r="J11" s="160">
        <f>SUM(J6:J10)</f>
        <v>2097133</v>
      </c>
      <c r="K11" s="160">
        <f>SUM(K6:K10)</f>
        <v>102950.54</v>
      </c>
      <c r="L11" s="160">
        <f>SUM(L6:L10)</f>
        <v>436739.88</v>
      </c>
    </row>
    <row r="12" s="135" customFormat="1" ht="20.1" customHeight="1" spans="1:12">
      <c r="A12" s="153" t="s">
        <v>385</v>
      </c>
      <c r="B12" s="376" t="s">
        <v>49</v>
      </c>
      <c r="C12" s="147">
        <f t="shared" si="0"/>
        <v>0</v>
      </c>
      <c r="D12" s="83">
        <v>0</v>
      </c>
      <c r="E12" s="83">
        <v>0</v>
      </c>
      <c r="F12" s="83"/>
      <c r="G12" s="151" t="s">
        <v>386</v>
      </c>
      <c r="H12" s="376" t="s">
        <v>165</v>
      </c>
      <c r="I12" s="160">
        <f>I5-I11</f>
        <v>45513176.58</v>
      </c>
      <c r="J12" s="160">
        <f>J5-J11</f>
        <v>44052867</v>
      </c>
      <c r="K12" s="160">
        <f>K5-K11</f>
        <v>-102950.54</v>
      </c>
      <c r="L12" s="160">
        <f>L5-L11</f>
        <v>-436739.88</v>
      </c>
    </row>
    <row r="13" s="135" customFormat="1" ht="20.1" customHeight="1" spans="1:12">
      <c r="A13" s="153" t="s">
        <v>387</v>
      </c>
      <c r="B13" s="376" t="s">
        <v>53</v>
      </c>
      <c r="C13" s="147">
        <f t="shared" si="0"/>
        <v>0</v>
      </c>
      <c r="D13" s="83">
        <v>0</v>
      </c>
      <c r="E13" s="83">
        <v>0</v>
      </c>
      <c r="F13" s="83"/>
      <c r="G13" s="392" t="s">
        <v>388</v>
      </c>
      <c r="H13" s="376" t="s">
        <v>169</v>
      </c>
      <c r="I13" s="143">
        <f>K13+J13</f>
        <v>0</v>
      </c>
      <c r="J13" s="144"/>
      <c r="K13" s="183"/>
      <c r="L13" s="183"/>
    </row>
    <row r="14" s="135" customFormat="1" ht="20.1" customHeight="1" spans="1:12">
      <c r="A14" s="393" t="s">
        <v>389</v>
      </c>
      <c r="B14" s="376" t="s">
        <v>57</v>
      </c>
      <c r="C14" s="147">
        <f t="shared" si="0"/>
        <v>451506.46</v>
      </c>
      <c r="D14" s="156"/>
      <c r="E14" s="156">
        <v>451506.46</v>
      </c>
      <c r="F14" s="157"/>
      <c r="G14" s="390" t="s">
        <v>390</v>
      </c>
      <c r="H14" s="376" t="s">
        <v>173</v>
      </c>
      <c r="I14" s="143">
        <f>K14+J14+L14-3000000</f>
        <v>0</v>
      </c>
      <c r="J14" s="165"/>
      <c r="K14" s="183"/>
      <c r="L14" s="183">
        <v>3000000</v>
      </c>
    </row>
    <row r="15" s="135" customFormat="1" ht="20.1" customHeight="1" spans="1:12">
      <c r="A15" s="389" t="s">
        <v>391</v>
      </c>
      <c r="B15" s="376" t="s">
        <v>61</v>
      </c>
      <c r="C15" s="147">
        <f>E15+D15+F15+1000000</f>
        <v>4895650.07</v>
      </c>
      <c r="D15" s="156">
        <v>2726475.79</v>
      </c>
      <c r="E15" s="156">
        <v>1148988.01</v>
      </c>
      <c r="F15" s="157">
        <v>20186.27</v>
      </c>
      <c r="G15" s="145" t="s">
        <v>392</v>
      </c>
      <c r="H15" s="376" t="s">
        <v>177</v>
      </c>
      <c r="I15" s="143">
        <f>K15+J15+L15</f>
        <v>0</v>
      </c>
      <c r="J15" s="83"/>
      <c r="K15" s="183"/>
      <c r="L15" s="183"/>
    </row>
    <row r="16" s="135" customFormat="1" ht="20.1" customHeight="1" spans="1:12">
      <c r="A16" s="394" t="s">
        <v>393</v>
      </c>
      <c r="B16" s="376" t="s">
        <v>65</v>
      </c>
      <c r="C16" s="159">
        <f>SUM(C3:C15)</f>
        <v>18273388.15</v>
      </c>
      <c r="D16" s="159">
        <f>SUM(D3:D15)</f>
        <v>11835386.67</v>
      </c>
      <c r="E16" s="160">
        <f>SUM(E3:E15)</f>
        <v>5313583.87</v>
      </c>
      <c r="F16" s="160">
        <f>SUM(F3:F15)</f>
        <v>124417.61</v>
      </c>
      <c r="G16" s="390" t="s">
        <v>394</v>
      </c>
      <c r="H16" s="376" t="s">
        <v>181</v>
      </c>
      <c r="I16" s="143">
        <f>K16+J16+L16</f>
        <v>0</v>
      </c>
      <c r="J16" s="165"/>
      <c r="K16" s="183">
        <v>0</v>
      </c>
      <c r="L16" s="183"/>
    </row>
    <row r="17" s="135" customFormat="1" ht="20.1" customHeight="1" spans="1:12">
      <c r="A17" s="389" t="s">
        <v>395</v>
      </c>
      <c r="B17" s="376" t="s">
        <v>69</v>
      </c>
      <c r="C17" s="147">
        <f t="shared" si="0"/>
        <v>1579672.26</v>
      </c>
      <c r="D17" s="156"/>
      <c r="E17" s="156">
        <v>1143556.62</v>
      </c>
      <c r="F17" s="157">
        <v>436115.64</v>
      </c>
      <c r="G17" s="145" t="s">
        <v>396</v>
      </c>
      <c r="H17" s="376" t="s">
        <v>185</v>
      </c>
      <c r="I17" s="143">
        <f>K17+J17+L17</f>
        <v>0</v>
      </c>
      <c r="J17" s="83">
        <v>0</v>
      </c>
      <c r="K17" s="183">
        <v>0</v>
      </c>
      <c r="L17" s="183"/>
    </row>
    <row r="18" s="135" customFormat="1" ht="20.1" customHeight="1" spans="1:12">
      <c r="A18" s="153" t="s">
        <v>397</v>
      </c>
      <c r="B18" s="376" t="s">
        <v>73</v>
      </c>
      <c r="C18" s="147">
        <f t="shared" si="0"/>
        <v>0</v>
      </c>
      <c r="D18" s="83"/>
      <c r="E18" s="83"/>
      <c r="F18" s="83"/>
      <c r="G18" s="390" t="s">
        <v>398</v>
      </c>
      <c r="H18" s="376" t="s">
        <v>189</v>
      </c>
      <c r="I18" s="143">
        <f t="shared" ref="I18:I25" si="2">K18+J18+L18</f>
        <v>0</v>
      </c>
      <c r="J18" s="83">
        <v>0</v>
      </c>
      <c r="K18" s="183">
        <v>0</v>
      </c>
      <c r="L18" s="183"/>
    </row>
    <row r="19" s="135" customFormat="1" ht="20.1" customHeight="1" spans="1:12">
      <c r="A19" s="153" t="s">
        <v>399</v>
      </c>
      <c r="B19" s="376" t="s">
        <v>77</v>
      </c>
      <c r="C19" s="147">
        <f t="shared" si="0"/>
        <v>0</v>
      </c>
      <c r="D19" s="83"/>
      <c r="E19" s="83"/>
      <c r="F19" s="83"/>
      <c r="G19" s="391" t="s">
        <v>400</v>
      </c>
      <c r="H19" s="376" t="s">
        <v>193</v>
      </c>
      <c r="I19" s="143">
        <f>K19+J19+L19-3000000</f>
        <v>0</v>
      </c>
      <c r="J19" s="160">
        <f>SUM(J14:J18)</f>
        <v>0</v>
      </c>
      <c r="K19" s="160">
        <f>SUM(K14:K18)</f>
        <v>0</v>
      </c>
      <c r="L19" s="160">
        <f>SUM(L14:L18)</f>
        <v>3000000</v>
      </c>
    </row>
    <row r="20" s="135" customFormat="1" ht="20.1" customHeight="1" spans="1:12">
      <c r="A20" s="153" t="s">
        <v>401</v>
      </c>
      <c r="B20" s="376" t="s">
        <v>81</v>
      </c>
      <c r="C20" s="147">
        <f t="shared" si="0"/>
        <v>0</v>
      </c>
      <c r="D20" s="83"/>
      <c r="E20" s="83"/>
      <c r="F20" s="83"/>
      <c r="G20" s="390" t="s">
        <v>402</v>
      </c>
      <c r="H20" s="376" t="s">
        <v>197</v>
      </c>
      <c r="I20" s="143">
        <f t="shared" si="2"/>
        <v>0</v>
      </c>
      <c r="J20" s="165"/>
      <c r="K20" s="183"/>
      <c r="L20" s="183"/>
    </row>
    <row r="21" s="135" customFormat="1" ht="20.1" customHeight="1" spans="1:12">
      <c r="A21" s="153" t="s">
        <v>403</v>
      </c>
      <c r="B21" s="376" t="s">
        <v>85</v>
      </c>
      <c r="C21" s="147">
        <f t="shared" si="0"/>
        <v>0</v>
      </c>
      <c r="D21" s="83"/>
      <c r="E21" s="83"/>
      <c r="F21" s="83"/>
      <c r="G21" s="390" t="s">
        <v>404</v>
      </c>
      <c r="H21" s="376" t="s">
        <v>201</v>
      </c>
      <c r="I21" s="143">
        <f t="shared" si="2"/>
        <v>0</v>
      </c>
      <c r="J21" s="184"/>
      <c r="K21" s="183"/>
      <c r="L21" s="183"/>
    </row>
    <row r="22" s="135" customFormat="1" ht="20.1" customHeight="1" spans="1:12">
      <c r="A22" s="153" t="s">
        <v>405</v>
      </c>
      <c r="B22" s="376" t="s">
        <v>89</v>
      </c>
      <c r="C22" s="147">
        <f t="shared" si="0"/>
        <v>0</v>
      </c>
      <c r="D22" s="161"/>
      <c r="E22" s="161"/>
      <c r="F22" s="161"/>
      <c r="G22" s="145" t="s">
        <v>406</v>
      </c>
      <c r="H22" s="376" t="s">
        <v>205</v>
      </c>
      <c r="I22" s="143">
        <f t="shared" si="2"/>
        <v>0</v>
      </c>
      <c r="J22" s="83">
        <v>0</v>
      </c>
      <c r="K22" s="183">
        <v>0</v>
      </c>
      <c r="L22" s="183"/>
    </row>
    <row r="23" s="135" customFormat="1" ht="20.1" customHeight="1" spans="1:12">
      <c r="A23" s="389" t="s">
        <v>407</v>
      </c>
      <c r="B23" s="376" t="s">
        <v>93</v>
      </c>
      <c r="C23" s="147">
        <f t="shared" si="0"/>
        <v>9615935.54</v>
      </c>
      <c r="D23" s="157">
        <v>4768867.72</v>
      </c>
      <c r="E23" s="157">
        <v>4278951.03</v>
      </c>
      <c r="F23" s="157">
        <v>568116.79</v>
      </c>
      <c r="G23" s="390" t="s">
        <v>408</v>
      </c>
      <c r="H23" s="376" t="s">
        <v>209</v>
      </c>
      <c r="I23" s="143">
        <f t="shared" si="2"/>
        <v>0</v>
      </c>
      <c r="J23" s="83">
        <v>0</v>
      </c>
      <c r="K23" s="183">
        <v>0</v>
      </c>
      <c r="L23" s="183"/>
    </row>
    <row r="24" s="135" customFormat="1" ht="20.1" customHeight="1" spans="1:12">
      <c r="A24" s="146" t="s">
        <v>409</v>
      </c>
      <c r="B24" s="376" t="s">
        <v>97</v>
      </c>
      <c r="C24" s="147">
        <f t="shared" si="0"/>
        <v>1124656.05</v>
      </c>
      <c r="D24" s="162">
        <v>242529.01</v>
      </c>
      <c r="E24" s="162">
        <v>882125.51</v>
      </c>
      <c r="F24" s="163">
        <v>1.53</v>
      </c>
      <c r="G24" s="391" t="s">
        <v>410</v>
      </c>
      <c r="H24" s="376" t="s">
        <v>213</v>
      </c>
      <c r="I24" s="143">
        <f t="shared" si="2"/>
        <v>0</v>
      </c>
      <c r="J24" s="159">
        <f>SUM(J20:J23)</f>
        <v>0</v>
      </c>
      <c r="K24" s="185">
        <f>SUM(K20:K23)</f>
        <v>0</v>
      </c>
      <c r="L24" s="185">
        <f>SUM(L20:L23)</f>
        <v>0</v>
      </c>
    </row>
    <row r="25" s="135" customFormat="1" ht="20.1" customHeight="1" spans="1:12">
      <c r="A25" s="389" t="s">
        <v>411</v>
      </c>
      <c r="B25" s="376" t="s">
        <v>101</v>
      </c>
      <c r="C25" s="147">
        <f t="shared" si="0"/>
        <v>2258708.53</v>
      </c>
      <c r="D25" s="156">
        <v>692992.250000003</v>
      </c>
      <c r="E25" s="156">
        <v>568088.38</v>
      </c>
      <c r="F25" s="157">
        <v>997627.9</v>
      </c>
      <c r="G25" s="151" t="s">
        <v>412</v>
      </c>
      <c r="H25" s="376" t="s">
        <v>216</v>
      </c>
      <c r="I25" s="143">
        <f>K25+J25+L25-3000000</f>
        <v>0</v>
      </c>
      <c r="J25" s="159">
        <f>J19-J24</f>
        <v>0</v>
      </c>
      <c r="K25" s="185">
        <f>K19-K24</f>
        <v>0</v>
      </c>
      <c r="L25" s="185">
        <f>L19-L24</f>
        <v>3000000</v>
      </c>
    </row>
    <row r="26" s="135" customFormat="1" ht="20.1" customHeight="1" spans="1:12">
      <c r="A26" s="394" t="s">
        <v>413</v>
      </c>
      <c r="B26" s="376" t="s">
        <v>105</v>
      </c>
      <c r="C26" s="147">
        <f t="shared" si="0"/>
        <v>14578972.38</v>
      </c>
      <c r="D26" s="160">
        <f>SUM(D17:D25)</f>
        <v>5704388.98</v>
      </c>
      <c r="E26" s="160">
        <f>SUM(E17:E25)</f>
        <v>6872721.54</v>
      </c>
      <c r="F26" s="160">
        <f>SUM(F17:F25)</f>
        <v>2001861.86</v>
      </c>
      <c r="G26" s="392" t="s">
        <v>414</v>
      </c>
      <c r="H26" s="376" t="s">
        <v>219</v>
      </c>
      <c r="I26" s="143">
        <f>K26+J26</f>
        <v>0</v>
      </c>
      <c r="J26" s="144">
        <v>0</v>
      </c>
      <c r="K26" s="183">
        <v>0</v>
      </c>
      <c r="L26" s="183"/>
    </row>
    <row r="27" s="135" customFormat="1" ht="20.1" customHeight="1" spans="1:12">
      <c r="A27" s="394" t="s">
        <v>415</v>
      </c>
      <c r="B27" s="376" t="s">
        <v>109</v>
      </c>
      <c r="C27" s="164">
        <f>C16-C26</f>
        <v>3694415.77</v>
      </c>
      <c r="D27" s="164">
        <f>D16-D26</f>
        <v>6130997.69</v>
      </c>
      <c r="E27" s="164">
        <f>E16-E26</f>
        <v>-1559137.67</v>
      </c>
      <c r="F27" s="164">
        <f>F16-F26</f>
        <v>-1877444.25</v>
      </c>
      <c r="G27" s="392" t="s">
        <v>416</v>
      </c>
      <c r="H27" s="376" t="s">
        <v>222</v>
      </c>
      <c r="I27" s="186">
        <f>C27+I12+I25+I26</f>
        <v>49207592.35</v>
      </c>
      <c r="J27" s="186">
        <f>D27+J12+J25+J26</f>
        <v>50183864.69</v>
      </c>
      <c r="K27" s="187">
        <f>E27+K12+K25+K26</f>
        <v>-1662088.21</v>
      </c>
      <c r="L27" s="187">
        <f>F27+L12+L25+L26</f>
        <v>685815.87</v>
      </c>
    </row>
    <row r="28" s="135" customFormat="1" ht="20.1" customHeight="1" spans="1:12">
      <c r="A28" s="387" t="s">
        <v>417</v>
      </c>
      <c r="B28" s="376" t="s">
        <v>113</v>
      </c>
      <c r="C28" s="147">
        <f t="shared" si="0"/>
        <v>0</v>
      </c>
      <c r="D28" s="144"/>
      <c r="E28" s="144"/>
      <c r="F28" s="144"/>
      <c r="G28" s="154" t="s">
        <v>418</v>
      </c>
      <c r="H28" s="376" t="s">
        <v>225</v>
      </c>
      <c r="I28" s="188">
        <f>K28+J28+L28</f>
        <v>6144611.23</v>
      </c>
      <c r="J28" s="165">
        <f>资产负债表合并过程!D84</f>
        <v>4134269.83</v>
      </c>
      <c r="K28" s="165">
        <f>资产负债表合并过程!E84</f>
        <v>2010341.4</v>
      </c>
      <c r="L28" s="183"/>
    </row>
    <row r="29" s="135" customFormat="1" ht="20.1" customHeight="1" spans="1:12">
      <c r="A29" s="389" t="s">
        <v>419</v>
      </c>
      <c r="B29" s="376" t="s">
        <v>117</v>
      </c>
      <c r="C29" s="147">
        <f t="shared" si="0"/>
        <v>46000000</v>
      </c>
      <c r="D29" s="165">
        <v>46000000</v>
      </c>
      <c r="E29" s="165"/>
      <c r="F29" s="166"/>
      <c r="G29" s="154" t="s">
        <v>420</v>
      </c>
      <c r="H29" s="376" t="s">
        <v>227</v>
      </c>
      <c r="I29" s="188">
        <f>K29+J29+L29</f>
        <v>55352203.58</v>
      </c>
      <c r="J29" s="183">
        <f>资产负债表合并过程!D4</f>
        <v>54318134.52</v>
      </c>
      <c r="K29" s="183">
        <f>资产负债表合并过程!E4</f>
        <v>348253.19</v>
      </c>
      <c r="L29" s="183">
        <f>资产负债表合并过程!F4</f>
        <v>685815.87</v>
      </c>
    </row>
    <row r="30" s="135" customFormat="1" ht="20.1" customHeight="1" spans="1:13">
      <c r="A30" s="395" t="s">
        <v>421</v>
      </c>
      <c r="B30" s="396" t="s">
        <v>121</v>
      </c>
      <c r="C30" s="147">
        <f t="shared" si="0"/>
        <v>150000</v>
      </c>
      <c r="D30" s="169">
        <v>150000</v>
      </c>
      <c r="E30" s="169"/>
      <c r="F30" s="170"/>
      <c r="G30" s="171"/>
      <c r="H30" s="171"/>
      <c r="I30" s="189"/>
      <c r="J30" s="190"/>
      <c r="K30" s="191"/>
      <c r="L30" s="191"/>
      <c r="M30" s="192"/>
    </row>
    <row r="31" spans="7:7">
      <c r="G31" s="172">
        <v>7</v>
      </c>
    </row>
    <row r="32" customFormat="1" spans="1:13">
      <c r="A32" s="137"/>
      <c r="B32" s="135"/>
      <c r="C32" s="138"/>
      <c r="G32" s="172"/>
      <c r="H32" s="137"/>
      <c r="I32" s="138"/>
      <c r="J32" s="136"/>
      <c r="M32" s="137"/>
    </row>
    <row r="33" customFormat="1" ht="14.25" spans="1:13">
      <c r="A33" s="137"/>
      <c r="B33" s="137" t="s">
        <v>500</v>
      </c>
      <c r="C33" s="138">
        <f>C27-附表合并过程!C19</f>
        <v>-0.00100000016391277</v>
      </c>
      <c r="D33" s="138">
        <f>D27-附表合并过程!D19</f>
        <v>0</v>
      </c>
      <c r="E33" s="138">
        <f>E27-附表合并过程!E19</f>
        <v>-0.000999999931082129</v>
      </c>
      <c r="F33" s="138">
        <f>F27-附表合并过程!F19</f>
        <v>0</v>
      </c>
      <c r="G33" s="172"/>
      <c r="H33" s="135" t="s">
        <v>500</v>
      </c>
      <c r="I33" s="138">
        <f>I27-附表合并过程!C29</f>
        <v>0</v>
      </c>
      <c r="J33" s="138">
        <f>J27-附表合并过程!D29</f>
        <v>0</v>
      </c>
      <c r="K33" s="138">
        <f>K27-附表合并过程!E29</f>
        <v>0</v>
      </c>
      <c r="L33" s="138">
        <f>L27-附表合并过程!F29</f>
        <v>0</v>
      </c>
      <c r="M33" s="137"/>
    </row>
    <row r="34" s="136" customFormat="1" ht="15.75" spans="1:13">
      <c r="A34" s="137"/>
      <c r="B34" s="137"/>
      <c r="C34" s="138"/>
      <c r="G34" s="137"/>
      <c r="H34" s="137"/>
      <c r="I34" s="193"/>
      <c r="J34" s="194"/>
      <c r="M34" s="137"/>
    </row>
    <row r="35" s="136" customFormat="1" ht="15.75" spans="1:13">
      <c r="A35" s="385" t="s">
        <v>360</v>
      </c>
      <c r="B35" s="386" t="s">
        <v>4</v>
      </c>
      <c r="C35" s="123" t="s">
        <v>491</v>
      </c>
      <c r="D35" s="124" t="s">
        <v>501</v>
      </c>
      <c r="E35" s="124" t="s">
        <v>502</v>
      </c>
      <c r="F35" s="124" t="s">
        <v>503</v>
      </c>
      <c r="G35" s="386" t="s">
        <v>363</v>
      </c>
      <c r="H35" s="386" t="s">
        <v>4</v>
      </c>
      <c r="I35" s="123" t="s">
        <v>491</v>
      </c>
      <c r="J35" s="124" t="s">
        <v>501</v>
      </c>
      <c r="K35" s="195" t="s">
        <v>502</v>
      </c>
      <c r="L35" s="195" t="s">
        <v>503</v>
      </c>
      <c r="M35" s="137"/>
    </row>
    <row r="36" spans="1:12">
      <c r="A36" s="387" t="s">
        <v>364</v>
      </c>
      <c r="B36" s="376" t="s">
        <v>8</v>
      </c>
      <c r="C36" s="143"/>
      <c r="D36" s="144"/>
      <c r="E36" s="388" t="s">
        <v>365</v>
      </c>
      <c r="F36" s="144"/>
      <c r="G36" s="145" t="s">
        <v>366</v>
      </c>
      <c r="H36" s="376" t="s">
        <v>125</v>
      </c>
      <c r="I36" s="143">
        <f t="shared" ref="I36:I46" si="3">J36+K36</f>
        <v>0</v>
      </c>
      <c r="J36" s="83"/>
      <c r="K36" s="180"/>
      <c r="L36" s="180"/>
    </row>
    <row r="37" spans="1:12">
      <c r="A37" s="389" t="s">
        <v>367</v>
      </c>
      <c r="B37" s="376" t="s">
        <v>13</v>
      </c>
      <c r="C37" s="147">
        <f>E37+D37</f>
        <v>7189621.91</v>
      </c>
      <c r="D37" s="148"/>
      <c r="E37" s="148">
        <v>7189621.91</v>
      </c>
      <c r="F37" s="173"/>
      <c r="G37" s="390" t="s">
        <v>368</v>
      </c>
      <c r="H37" s="376" t="s">
        <v>129</v>
      </c>
      <c r="I37" s="143">
        <f t="shared" si="3"/>
        <v>0</v>
      </c>
      <c r="J37" s="83">
        <v>0</v>
      </c>
      <c r="K37" s="180">
        <v>0</v>
      </c>
      <c r="L37" s="180"/>
    </row>
    <row r="38" spans="1:12">
      <c r="A38" s="150" t="s">
        <v>369</v>
      </c>
      <c r="B38" s="376" t="s">
        <v>17</v>
      </c>
      <c r="C38" s="147"/>
      <c r="D38" s="83">
        <v>0</v>
      </c>
      <c r="E38" s="83">
        <v>0</v>
      </c>
      <c r="F38" s="83"/>
      <c r="G38" s="390" t="s">
        <v>370</v>
      </c>
      <c r="H38" s="376" t="s">
        <v>133</v>
      </c>
      <c r="I38" s="143">
        <f t="shared" si="3"/>
        <v>488600</v>
      </c>
      <c r="J38" s="165"/>
      <c r="K38" s="180">
        <v>488600</v>
      </c>
      <c r="L38" s="180"/>
    </row>
    <row r="39" spans="1:12">
      <c r="A39" s="150" t="s">
        <v>371</v>
      </c>
      <c r="B39" s="376" t="s">
        <v>21</v>
      </c>
      <c r="C39" s="147"/>
      <c r="D39" s="83">
        <v>0</v>
      </c>
      <c r="E39" s="83">
        <v>0</v>
      </c>
      <c r="F39" s="83"/>
      <c r="G39" s="391" t="s">
        <v>372</v>
      </c>
      <c r="H39" s="376" t="s">
        <v>137</v>
      </c>
      <c r="I39" s="181">
        <f t="shared" si="3"/>
        <v>40910298.63</v>
      </c>
      <c r="J39" s="160">
        <f>D63+D64+SUM(J36:J38)</f>
        <v>40421698.63</v>
      </c>
      <c r="K39" s="182">
        <f>E63+E64+SUM(K36:K38)</f>
        <v>488600</v>
      </c>
      <c r="L39" s="182"/>
    </row>
    <row r="40" spans="1:12">
      <c r="A40" s="150" t="s">
        <v>373</v>
      </c>
      <c r="B40" s="376" t="s">
        <v>25</v>
      </c>
      <c r="C40" s="147"/>
      <c r="D40" s="83">
        <v>0</v>
      </c>
      <c r="E40" s="83">
        <v>0</v>
      </c>
      <c r="F40" s="83"/>
      <c r="G40" s="145" t="s">
        <v>374</v>
      </c>
      <c r="H40" s="376" t="s">
        <v>141</v>
      </c>
      <c r="I40" s="143">
        <f t="shared" si="3"/>
        <v>494436.64</v>
      </c>
      <c r="J40" s="165">
        <v>2350</v>
      </c>
      <c r="K40" s="180">
        <v>492086.64</v>
      </c>
      <c r="L40" s="180"/>
    </row>
    <row r="41" spans="1:12">
      <c r="A41" s="150" t="s">
        <v>375</v>
      </c>
      <c r="B41" s="376" t="s">
        <v>29</v>
      </c>
      <c r="C41" s="147"/>
      <c r="D41" s="83">
        <v>0</v>
      </c>
      <c r="E41" s="83">
        <v>0</v>
      </c>
      <c r="F41" s="83"/>
      <c r="G41" s="390" t="s">
        <v>376</v>
      </c>
      <c r="H41" s="376" t="s">
        <v>145</v>
      </c>
      <c r="I41" s="143">
        <f t="shared" si="3"/>
        <v>47000000</v>
      </c>
      <c r="J41" s="83">
        <v>47000000</v>
      </c>
      <c r="K41" s="180"/>
      <c r="L41" s="180"/>
    </row>
    <row r="42" spans="1:12">
      <c r="A42" s="150" t="s">
        <v>377</v>
      </c>
      <c r="B42" s="376" t="s">
        <v>33</v>
      </c>
      <c r="C42" s="147"/>
      <c r="D42" s="83">
        <v>0</v>
      </c>
      <c r="E42" s="83">
        <v>0</v>
      </c>
      <c r="F42" s="83"/>
      <c r="G42" s="152" t="s">
        <v>378</v>
      </c>
      <c r="H42" s="376" t="s">
        <v>149</v>
      </c>
      <c r="I42" s="143">
        <f t="shared" si="3"/>
        <v>0</v>
      </c>
      <c r="J42" s="83">
        <v>0</v>
      </c>
      <c r="K42" s="180">
        <v>0</v>
      </c>
      <c r="L42" s="180"/>
    </row>
    <row r="43" spans="1:12">
      <c r="A43" s="153" t="s">
        <v>379</v>
      </c>
      <c r="B43" s="376" t="s">
        <v>37</v>
      </c>
      <c r="C43" s="147"/>
      <c r="D43" s="83">
        <v>0</v>
      </c>
      <c r="E43" s="83">
        <v>0</v>
      </c>
      <c r="F43" s="83"/>
      <c r="G43" s="390" t="s">
        <v>380</v>
      </c>
      <c r="H43" s="376" t="s">
        <v>153</v>
      </c>
      <c r="I43" s="143">
        <f t="shared" si="3"/>
        <v>0</v>
      </c>
      <c r="J43" s="83">
        <v>0</v>
      </c>
      <c r="K43" s="180">
        <v>0</v>
      </c>
      <c r="L43" s="180"/>
    </row>
    <row r="44" spans="1:12">
      <c r="A44" s="153" t="s">
        <v>381</v>
      </c>
      <c r="B44" s="376" t="s">
        <v>41</v>
      </c>
      <c r="C44" s="147"/>
      <c r="D44" s="83">
        <v>0</v>
      </c>
      <c r="E44" s="83">
        <v>0</v>
      </c>
      <c r="F44" s="83"/>
      <c r="G44" s="390" t="s">
        <v>382</v>
      </c>
      <c r="H44" s="376" t="s">
        <v>157</v>
      </c>
      <c r="I44" s="143">
        <f t="shared" si="3"/>
        <v>40000000</v>
      </c>
      <c r="J44" s="165">
        <v>40000000</v>
      </c>
      <c r="K44" s="180"/>
      <c r="L44" s="180"/>
    </row>
    <row r="45" spans="1:12">
      <c r="A45" s="153" t="s">
        <v>383</v>
      </c>
      <c r="B45" s="376" t="s">
        <v>45</v>
      </c>
      <c r="C45" s="147"/>
      <c r="D45" s="83">
        <v>0</v>
      </c>
      <c r="E45" s="83">
        <v>0</v>
      </c>
      <c r="F45" s="83"/>
      <c r="G45" s="391" t="s">
        <v>384</v>
      </c>
      <c r="H45" s="376" t="s">
        <v>161</v>
      </c>
      <c r="I45" s="181">
        <f t="shared" si="3"/>
        <v>87494436.64</v>
      </c>
      <c r="J45" s="160">
        <f>SUM(J40:J44)</f>
        <v>87002350</v>
      </c>
      <c r="K45" s="182">
        <f>SUM(K40:K44)</f>
        <v>492086.64</v>
      </c>
      <c r="L45" s="182"/>
    </row>
    <row r="46" spans="1:12">
      <c r="A46" s="153" t="s">
        <v>385</v>
      </c>
      <c r="B46" s="376" t="s">
        <v>49</v>
      </c>
      <c r="C46" s="147"/>
      <c r="D46" s="83">
        <v>0</v>
      </c>
      <c r="E46" s="83">
        <v>0</v>
      </c>
      <c r="F46" s="83"/>
      <c r="G46" s="151" t="s">
        <v>386</v>
      </c>
      <c r="H46" s="376" t="s">
        <v>165</v>
      </c>
      <c r="I46" s="181">
        <f t="shared" si="3"/>
        <v>-46584138.01</v>
      </c>
      <c r="J46" s="160">
        <f>J39-J45</f>
        <v>-46580651.37</v>
      </c>
      <c r="K46" s="182">
        <f>K39-K45</f>
        <v>-3486.64000000001</v>
      </c>
      <c r="L46" s="182"/>
    </row>
    <row r="47" spans="1:12">
      <c r="A47" s="153" t="s">
        <v>387</v>
      </c>
      <c r="B47" s="376" t="s">
        <v>53</v>
      </c>
      <c r="C47" s="147"/>
      <c r="D47" s="83">
        <v>0</v>
      </c>
      <c r="E47" s="83">
        <v>0</v>
      </c>
      <c r="F47" s="83"/>
      <c r="G47" s="392" t="s">
        <v>388</v>
      </c>
      <c r="H47" s="376" t="s">
        <v>169</v>
      </c>
      <c r="I47" s="143"/>
      <c r="J47" s="144"/>
      <c r="K47" s="180"/>
      <c r="L47" s="180"/>
    </row>
    <row r="48" spans="1:12">
      <c r="A48" s="393" t="s">
        <v>389</v>
      </c>
      <c r="B48" s="376" t="s">
        <v>57</v>
      </c>
      <c r="C48" s="147"/>
      <c r="D48" s="156"/>
      <c r="E48" s="156"/>
      <c r="F48" s="157"/>
      <c r="G48" s="390" t="s">
        <v>390</v>
      </c>
      <c r="H48" s="376" t="s">
        <v>173</v>
      </c>
      <c r="I48" s="143">
        <f>J48+K48</f>
        <v>0</v>
      </c>
      <c r="J48" s="165"/>
      <c r="K48" s="180"/>
      <c r="L48" s="180"/>
    </row>
    <row r="49" spans="1:12">
      <c r="A49" s="389" t="s">
        <v>391</v>
      </c>
      <c r="B49" s="376" t="s">
        <v>61</v>
      </c>
      <c r="C49" s="147">
        <f>E49+D49</f>
        <v>4485751.63</v>
      </c>
      <c r="D49" s="156">
        <v>2707458.45</v>
      </c>
      <c r="E49" s="156">
        <v>1778293.18</v>
      </c>
      <c r="F49" s="174"/>
      <c r="G49" s="145" t="s">
        <v>392</v>
      </c>
      <c r="H49" s="376" t="s">
        <v>177</v>
      </c>
      <c r="I49" s="143"/>
      <c r="J49" s="83"/>
      <c r="K49" s="180"/>
      <c r="L49" s="180"/>
    </row>
    <row r="50" spans="1:12">
      <c r="A50" s="394" t="s">
        <v>393</v>
      </c>
      <c r="B50" s="376" t="s">
        <v>65</v>
      </c>
      <c r="C50" s="175">
        <f>E50+D50</f>
        <v>11675373.54</v>
      </c>
      <c r="D50" s="160">
        <f>SUM(D37:D49)</f>
        <v>2707458.45</v>
      </c>
      <c r="E50" s="160">
        <f>SUM(E37:E49)</f>
        <v>8967915.09</v>
      </c>
      <c r="F50" s="160"/>
      <c r="G50" s="390" t="s">
        <v>394</v>
      </c>
      <c r="H50" s="376" t="s">
        <v>181</v>
      </c>
      <c r="I50" s="143"/>
      <c r="J50" s="165"/>
      <c r="K50" s="180">
        <v>0</v>
      </c>
      <c r="L50" s="180"/>
    </row>
    <row r="51" spans="1:12">
      <c r="A51" s="389" t="s">
        <v>395</v>
      </c>
      <c r="B51" s="376" t="s">
        <v>69</v>
      </c>
      <c r="C51" s="147">
        <f>E51+D51</f>
        <v>635969.97</v>
      </c>
      <c r="D51" s="156"/>
      <c r="E51" s="176">
        <v>635969.97</v>
      </c>
      <c r="F51" s="174"/>
      <c r="G51" s="145" t="s">
        <v>396</v>
      </c>
      <c r="H51" s="376" t="s">
        <v>185</v>
      </c>
      <c r="I51" s="143"/>
      <c r="J51" s="83">
        <v>0</v>
      </c>
      <c r="K51" s="180">
        <v>0</v>
      </c>
      <c r="L51" s="180"/>
    </row>
    <row r="52" spans="1:12">
      <c r="A52" s="153" t="s">
        <v>397</v>
      </c>
      <c r="B52" s="376" t="s">
        <v>73</v>
      </c>
      <c r="C52" s="147"/>
      <c r="D52" s="83"/>
      <c r="E52" s="83"/>
      <c r="F52" s="83"/>
      <c r="G52" s="390" t="s">
        <v>398</v>
      </c>
      <c r="H52" s="376" t="s">
        <v>189</v>
      </c>
      <c r="I52" s="143"/>
      <c r="J52" s="83">
        <v>0</v>
      </c>
      <c r="K52" s="180">
        <v>0</v>
      </c>
      <c r="L52" s="180"/>
    </row>
    <row r="53" spans="1:12">
      <c r="A53" s="153" t="s">
        <v>399</v>
      </c>
      <c r="B53" s="376" t="s">
        <v>77</v>
      </c>
      <c r="C53" s="147"/>
      <c r="D53" s="83"/>
      <c r="E53" s="83"/>
      <c r="F53" s="83"/>
      <c r="G53" s="391" t="s">
        <v>400</v>
      </c>
      <c r="H53" s="376" t="s">
        <v>193</v>
      </c>
      <c r="I53" s="181">
        <f>J53+K53</f>
        <v>0</v>
      </c>
      <c r="J53" s="160">
        <f>SUM(J48:J52)</f>
        <v>0</v>
      </c>
      <c r="K53" s="182">
        <f>SUM(K48:K52)</f>
        <v>0</v>
      </c>
      <c r="L53" s="182"/>
    </row>
    <row r="54" spans="1:12">
      <c r="A54" s="153" t="s">
        <v>401</v>
      </c>
      <c r="B54" s="376" t="s">
        <v>81</v>
      </c>
      <c r="C54" s="147"/>
      <c r="D54" s="83"/>
      <c r="E54" s="83"/>
      <c r="F54" s="83"/>
      <c r="G54" s="390" t="s">
        <v>402</v>
      </c>
      <c r="H54" s="376" t="s">
        <v>197</v>
      </c>
      <c r="I54" s="143"/>
      <c r="J54" s="165"/>
      <c r="K54" s="180"/>
      <c r="L54" s="180"/>
    </row>
    <row r="55" spans="1:12">
      <c r="A55" s="153" t="s">
        <v>403</v>
      </c>
      <c r="B55" s="376" t="s">
        <v>85</v>
      </c>
      <c r="C55" s="147"/>
      <c r="D55" s="83"/>
      <c r="E55" s="83"/>
      <c r="F55" s="83"/>
      <c r="G55" s="390" t="s">
        <v>404</v>
      </c>
      <c r="H55" s="376" t="s">
        <v>201</v>
      </c>
      <c r="I55" s="143"/>
      <c r="J55" s="184"/>
      <c r="K55" s="180"/>
      <c r="L55" s="180"/>
    </row>
    <row r="56" spans="1:12">
      <c r="A56" s="153" t="s">
        <v>405</v>
      </c>
      <c r="B56" s="376" t="s">
        <v>89</v>
      </c>
      <c r="C56" s="147"/>
      <c r="D56" s="161"/>
      <c r="E56" s="161"/>
      <c r="F56" s="161"/>
      <c r="G56" s="145" t="s">
        <v>406</v>
      </c>
      <c r="H56" s="376" t="s">
        <v>205</v>
      </c>
      <c r="I56" s="143"/>
      <c r="J56" s="83">
        <v>0</v>
      </c>
      <c r="K56" s="180">
        <v>0</v>
      </c>
      <c r="L56" s="180"/>
    </row>
    <row r="57" spans="1:12">
      <c r="A57" s="389" t="s">
        <v>407</v>
      </c>
      <c r="B57" s="376" t="s">
        <v>93</v>
      </c>
      <c r="C57" s="147">
        <f>E57+D57</f>
        <v>4686052.37</v>
      </c>
      <c r="D57" s="157">
        <v>1820236.7</v>
      </c>
      <c r="E57" s="157">
        <v>2865815.67</v>
      </c>
      <c r="F57" s="157"/>
      <c r="G57" s="390" t="s">
        <v>408</v>
      </c>
      <c r="H57" s="376" t="s">
        <v>209</v>
      </c>
      <c r="I57" s="143"/>
      <c r="J57" s="83">
        <v>0</v>
      </c>
      <c r="K57" s="180">
        <v>0</v>
      </c>
      <c r="L57" s="180"/>
    </row>
    <row r="58" spans="1:12">
      <c r="A58" s="146" t="s">
        <v>409</v>
      </c>
      <c r="B58" s="376" t="s">
        <v>97</v>
      </c>
      <c r="C58" s="147">
        <f>E58+D58</f>
        <v>373936.37</v>
      </c>
      <c r="D58" s="162">
        <v>691.7</v>
      </c>
      <c r="E58" s="162">
        <v>373244.67</v>
      </c>
      <c r="F58" s="163"/>
      <c r="G58" s="391" t="s">
        <v>410</v>
      </c>
      <c r="H58" s="376" t="s">
        <v>213</v>
      </c>
      <c r="I58" s="181"/>
      <c r="J58" s="159">
        <f>SUM(J54:J57)</f>
        <v>0</v>
      </c>
      <c r="K58" s="182">
        <f>SUM(K54:K57)</f>
        <v>0</v>
      </c>
      <c r="L58" s="182"/>
    </row>
    <row r="59" spans="1:12">
      <c r="A59" s="389" t="s">
        <v>411</v>
      </c>
      <c r="B59" s="376" t="s">
        <v>101</v>
      </c>
      <c r="C59" s="147">
        <f>E59+D59</f>
        <v>3838363.05</v>
      </c>
      <c r="D59" s="156">
        <v>171608.85</v>
      </c>
      <c r="E59" s="156">
        <v>3666754.2</v>
      </c>
      <c r="F59" s="174"/>
      <c r="G59" s="151" t="s">
        <v>412</v>
      </c>
      <c r="H59" s="376" t="s">
        <v>216</v>
      </c>
      <c r="I59" s="181">
        <f>J59+K59</f>
        <v>0</v>
      </c>
      <c r="J59" s="159">
        <f>J53-J58</f>
        <v>0</v>
      </c>
      <c r="K59" s="182">
        <f>K53-K58</f>
        <v>0</v>
      </c>
      <c r="L59" s="182"/>
    </row>
    <row r="60" spans="1:12">
      <c r="A60" s="394" t="s">
        <v>413</v>
      </c>
      <c r="B60" s="376" t="s">
        <v>105</v>
      </c>
      <c r="C60" s="177">
        <f>E60+D60</f>
        <v>9534321.76</v>
      </c>
      <c r="D60" s="160">
        <f>SUM(D51:D59)</f>
        <v>1992537.25</v>
      </c>
      <c r="E60" s="160">
        <f>SUM(E51:E59)</f>
        <v>7541784.51</v>
      </c>
      <c r="F60" s="160"/>
      <c r="G60" s="392" t="s">
        <v>414</v>
      </c>
      <c r="H60" s="376" t="s">
        <v>219</v>
      </c>
      <c r="I60" s="143"/>
      <c r="J60" s="144">
        <v>0</v>
      </c>
      <c r="K60" s="180">
        <v>0</v>
      </c>
      <c r="L60" s="180"/>
    </row>
    <row r="61" spans="1:14">
      <c r="A61" s="394" t="s">
        <v>415</v>
      </c>
      <c r="B61" s="376" t="s">
        <v>109</v>
      </c>
      <c r="C61" s="178">
        <f>E61+D61</f>
        <v>2141051.78</v>
      </c>
      <c r="D61" s="164">
        <f>D50-D60</f>
        <v>714921.2</v>
      </c>
      <c r="E61" s="164">
        <f>E50-E60</f>
        <v>1426130.58</v>
      </c>
      <c r="F61" s="164"/>
      <c r="G61" s="392" t="s">
        <v>416</v>
      </c>
      <c r="H61" s="376" t="s">
        <v>222</v>
      </c>
      <c r="I61" s="196">
        <f>C61+I46+I59+I60</f>
        <v>-44443086.23</v>
      </c>
      <c r="J61" s="186">
        <f>D61+J46+J59+J60</f>
        <v>-45865730.17</v>
      </c>
      <c r="K61" s="186">
        <f>E61+K46+K59+K60</f>
        <v>1422643.94</v>
      </c>
      <c r="L61" s="197"/>
      <c r="M61" s="193"/>
      <c r="N61" s="198"/>
    </row>
    <row r="62" spans="1:12">
      <c r="A62" s="387" t="s">
        <v>417</v>
      </c>
      <c r="B62" s="376" t="s">
        <v>113</v>
      </c>
      <c r="C62" s="147"/>
      <c r="D62" s="144"/>
      <c r="E62" s="144"/>
      <c r="F62" s="144"/>
      <c r="G62" s="154" t="s">
        <v>418</v>
      </c>
      <c r="H62" s="376" t="s">
        <v>225</v>
      </c>
      <c r="I62" s="143">
        <f>J62+K62</f>
        <v>50587697.46</v>
      </c>
      <c r="J62" s="165">
        <v>50000000</v>
      </c>
      <c r="K62" s="180">
        <v>587697.46</v>
      </c>
      <c r="L62" s="180"/>
    </row>
    <row r="63" spans="1:12">
      <c r="A63" s="389" t="s">
        <v>419</v>
      </c>
      <c r="B63" s="376" t="s">
        <v>117</v>
      </c>
      <c r="C63" s="147">
        <f>E63+D63</f>
        <v>40000000</v>
      </c>
      <c r="D63" s="165">
        <v>40000000</v>
      </c>
      <c r="E63" s="165"/>
      <c r="F63" s="166"/>
      <c r="G63" s="154" t="s">
        <v>420</v>
      </c>
      <c r="H63" s="376" t="s">
        <v>227</v>
      </c>
      <c r="I63" s="143">
        <f>I61+I62</f>
        <v>6144611.23</v>
      </c>
      <c r="J63" s="83">
        <f>J61+J62</f>
        <v>4134269.83000001</v>
      </c>
      <c r="K63" s="180">
        <v>2010341.4</v>
      </c>
      <c r="L63" s="180"/>
    </row>
    <row r="64" ht="15.75" spans="1:12">
      <c r="A64" s="395" t="s">
        <v>421</v>
      </c>
      <c r="B64" s="396" t="s">
        <v>121</v>
      </c>
      <c r="C64" s="147">
        <f>E64+D64</f>
        <v>421698.63</v>
      </c>
      <c r="D64" s="169">
        <v>421698.63</v>
      </c>
      <c r="E64" s="169"/>
      <c r="F64" s="170"/>
      <c r="G64" s="171"/>
      <c r="H64" s="171"/>
      <c r="I64" s="189"/>
      <c r="J64" s="190"/>
      <c r="K64" s="191"/>
      <c r="L64" s="191"/>
    </row>
    <row r="67" ht="14.25" spans="2:11">
      <c r="B67" s="135" t="s">
        <v>500</v>
      </c>
      <c r="C67" s="138">
        <f>C61-附表合并过程!C50</f>
        <v>0</v>
      </c>
      <c r="D67" s="138">
        <f>D61-附表合并过程!D50</f>
        <v>0</v>
      </c>
      <c r="E67" s="138">
        <f>E61-附表合并过程!E50</f>
        <v>0</v>
      </c>
      <c r="H67" s="135" t="s">
        <v>500</v>
      </c>
      <c r="I67" s="138">
        <f>I61-附表合并过程!C60</f>
        <v>0</v>
      </c>
      <c r="J67" s="138">
        <f>J61-附表合并过程!D60</f>
        <v>0</v>
      </c>
      <c r="K67" s="138">
        <f>K61-附表合并过程!E60</f>
        <v>0</v>
      </c>
    </row>
  </sheetData>
  <pageMargins left="0.75" right="0.75" top="1" bottom="1" header="0.5" footer="0.5"/>
  <headerFooter/>
  <ignoredErrors>
    <ignoredError sqref="C15 C27"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60"/>
  <sheetViews>
    <sheetView zoomScale="80" zoomScaleNormal="80" workbookViewId="0">
      <selection activeCell="H27" sqref="H27"/>
    </sheetView>
  </sheetViews>
  <sheetFormatPr defaultColWidth="9" defaultRowHeight="13.5"/>
  <cols>
    <col min="1" max="1" width="75.25" style="2" customWidth="1"/>
    <col min="2" max="2" width="9" style="122"/>
    <col min="3" max="3" width="17.125" style="50" customWidth="1"/>
    <col min="4" max="4" width="19.125" style="3"/>
    <col min="5" max="5" width="17.125" style="3"/>
    <col min="6" max="6" width="21.5583333333333" style="2" customWidth="1"/>
    <col min="7" max="7" width="16.625" style="3" customWidth="1"/>
    <col min="8" max="8" width="14.125" style="3" customWidth="1"/>
    <col min="9" max="16384" width="9" style="2"/>
  </cols>
  <sheetData>
    <row r="1" ht="14.25" spans="1:6">
      <c r="A1" s="12" t="s">
        <v>425</v>
      </c>
      <c r="B1" s="12" t="s">
        <v>4</v>
      </c>
      <c r="C1" s="123" t="s">
        <v>491</v>
      </c>
      <c r="D1" s="124" t="s">
        <v>492</v>
      </c>
      <c r="E1" s="9" t="s">
        <v>493</v>
      </c>
      <c r="F1" s="9" t="s">
        <v>494</v>
      </c>
    </row>
    <row r="2" spans="1:6">
      <c r="A2" s="7" t="s">
        <v>426</v>
      </c>
      <c r="B2" s="12"/>
      <c r="C2" s="8"/>
      <c r="D2" s="9"/>
      <c r="E2" s="9"/>
      <c r="F2" s="9"/>
    </row>
    <row r="3" spans="1:6">
      <c r="A3" s="7" t="s">
        <v>427</v>
      </c>
      <c r="B3" s="12">
        <v>57</v>
      </c>
      <c r="C3" s="8">
        <f>D3+E3+F3</f>
        <v>1800487.441</v>
      </c>
      <c r="D3" s="9">
        <f>利润表合并过程!L12</f>
        <v>1137252.12</v>
      </c>
      <c r="E3" s="9">
        <f>利润表合并过程!M12</f>
        <v>1640081.911</v>
      </c>
      <c r="F3" s="9">
        <f>利润表合并过程!N12</f>
        <v>-976846.59</v>
      </c>
    </row>
    <row r="4" spans="1:6">
      <c r="A4" s="7" t="s">
        <v>428</v>
      </c>
      <c r="B4" s="12">
        <v>58</v>
      </c>
      <c r="C4" s="8">
        <f t="shared" ref="C4:C17" si="0">D4+E4+F4</f>
        <v>0</v>
      </c>
      <c r="D4" s="9">
        <v>0</v>
      </c>
      <c r="E4" s="9"/>
      <c r="F4" s="9"/>
    </row>
    <row r="5" spans="1:6">
      <c r="A5" s="7" t="s">
        <v>429</v>
      </c>
      <c r="B5" s="12">
        <v>59</v>
      </c>
      <c r="C5" s="8">
        <f t="shared" si="0"/>
        <v>308215.49</v>
      </c>
      <c r="D5" s="9">
        <v>10285.06</v>
      </c>
      <c r="E5" s="9">
        <v>272076.23</v>
      </c>
      <c r="F5" s="9">
        <v>25854.2</v>
      </c>
    </row>
    <row r="6" spans="1:6">
      <c r="A6" s="7" t="s">
        <v>430</v>
      </c>
      <c r="B6" s="12">
        <v>60</v>
      </c>
      <c r="C6" s="8">
        <f t="shared" si="0"/>
        <v>13118.92</v>
      </c>
      <c r="D6" s="9">
        <v>545.65</v>
      </c>
      <c r="E6" s="9"/>
      <c r="F6" s="9">
        <v>12573.27</v>
      </c>
    </row>
    <row r="7" spans="1:6">
      <c r="A7" s="7" t="s">
        <v>431</v>
      </c>
      <c r="B7" s="12">
        <v>61</v>
      </c>
      <c r="C7" s="8">
        <f t="shared" si="0"/>
        <v>0</v>
      </c>
      <c r="D7" s="9">
        <v>0</v>
      </c>
      <c r="E7" s="9"/>
      <c r="F7" s="125"/>
    </row>
    <row r="8" spans="1:6">
      <c r="A8" s="7" t="s">
        <v>432</v>
      </c>
      <c r="B8" s="12">
        <v>64</v>
      </c>
      <c r="C8" s="8">
        <f t="shared" si="0"/>
        <v>0</v>
      </c>
      <c r="D8" s="9">
        <v>0</v>
      </c>
      <c r="E8" s="9"/>
      <c r="F8" s="9"/>
    </row>
    <row r="9" spans="1:6">
      <c r="A9" s="7" t="s">
        <v>433</v>
      </c>
      <c r="B9" s="12">
        <v>65</v>
      </c>
      <c r="C9" s="8">
        <f t="shared" si="0"/>
        <v>0</v>
      </c>
      <c r="D9" s="9"/>
      <c r="E9" s="9"/>
      <c r="F9" s="9"/>
    </row>
    <row r="10" spans="1:6">
      <c r="A10" s="7" t="s">
        <v>434</v>
      </c>
      <c r="B10" s="12">
        <v>66</v>
      </c>
      <c r="C10" s="8">
        <f t="shared" si="0"/>
        <v>0</v>
      </c>
      <c r="D10" s="9">
        <v>0</v>
      </c>
      <c r="E10" s="9"/>
      <c r="F10" s="9"/>
    </row>
    <row r="11" spans="1:6">
      <c r="A11" s="7" t="s">
        <v>435</v>
      </c>
      <c r="B11" s="12">
        <v>67</v>
      </c>
      <c r="C11" s="8">
        <f t="shared" si="0"/>
        <v>0</v>
      </c>
      <c r="D11" s="9"/>
      <c r="E11" s="9"/>
      <c r="F11" s="9"/>
    </row>
    <row r="12" spans="1:6">
      <c r="A12" s="7" t="s">
        <v>436</v>
      </c>
      <c r="B12" s="12">
        <v>68</v>
      </c>
      <c r="C12" s="8">
        <f t="shared" si="0"/>
        <v>-150000</v>
      </c>
      <c r="D12" s="9">
        <v>-150000</v>
      </c>
      <c r="E12" s="9"/>
      <c r="F12" s="9"/>
    </row>
    <row r="13" spans="1:6">
      <c r="A13" s="7" t="s">
        <v>437</v>
      </c>
      <c r="B13" s="12">
        <v>69</v>
      </c>
      <c r="C13" s="8">
        <f t="shared" si="0"/>
        <v>0</v>
      </c>
      <c r="D13" s="9">
        <v>0</v>
      </c>
      <c r="E13" s="9"/>
      <c r="F13" s="9"/>
    </row>
    <row r="14" spans="1:6">
      <c r="A14" s="7" t="s">
        <v>438</v>
      </c>
      <c r="B14" s="12">
        <v>70</v>
      </c>
      <c r="C14" s="8">
        <f t="shared" si="0"/>
        <v>0</v>
      </c>
      <c r="D14" s="9">
        <v>0</v>
      </c>
      <c r="E14" s="9"/>
      <c r="F14" s="9"/>
    </row>
    <row r="15" spans="1:6">
      <c r="A15" s="7" t="s">
        <v>439</v>
      </c>
      <c r="B15" s="12">
        <v>71</v>
      </c>
      <c r="C15" s="8">
        <f t="shared" si="0"/>
        <v>-685812.84</v>
      </c>
      <c r="D15" s="9">
        <v>0</v>
      </c>
      <c r="E15" s="9">
        <v>-102794.65</v>
      </c>
      <c r="F15" s="9">
        <v>-583018.19</v>
      </c>
    </row>
    <row r="16" spans="1:6">
      <c r="A16" s="7" t="s">
        <v>440</v>
      </c>
      <c r="B16" s="12">
        <v>72</v>
      </c>
      <c r="C16" s="8">
        <f t="shared" si="0"/>
        <v>-2864407.89</v>
      </c>
      <c r="D16" s="9">
        <v>-9556.4</v>
      </c>
      <c r="E16" s="9">
        <v>-2844363.49</v>
      </c>
      <c r="F16" s="9">
        <v>-10488</v>
      </c>
    </row>
    <row r="17" spans="1:6">
      <c r="A17" s="7" t="s">
        <v>441</v>
      </c>
      <c r="B17" s="12">
        <v>73</v>
      </c>
      <c r="C17" s="8">
        <f>D17+E17+F17+1000000</f>
        <v>5272814.65</v>
      </c>
      <c r="D17" s="9">
        <f>4992471.26+150000</f>
        <v>5142471.26</v>
      </c>
      <c r="E17" s="9">
        <v>-524137.67</v>
      </c>
      <c r="F17" s="9">
        <f>260062.38-605581.32</f>
        <v>-345518.94</v>
      </c>
    </row>
    <row r="18" spans="1:6">
      <c r="A18" s="7" t="s">
        <v>442</v>
      </c>
      <c r="B18" s="12">
        <v>74</v>
      </c>
      <c r="C18" s="8">
        <f t="shared" ref="C18:C29" si="1">D18+E18+F18</f>
        <v>0</v>
      </c>
      <c r="D18" s="9"/>
      <c r="E18" s="9"/>
      <c r="F18" s="9"/>
    </row>
    <row r="19" s="121" customFormat="1" spans="1:11">
      <c r="A19" s="126" t="s">
        <v>443</v>
      </c>
      <c r="B19" s="127">
        <v>75</v>
      </c>
      <c r="C19" s="128">
        <f>SUM(C3:C18)</f>
        <v>3694415.771</v>
      </c>
      <c r="D19" s="128">
        <f>SUM(D3:D18)</f>
        <v>6130997.69</v>
      </c>
      <c r="E19" s="128">
        <f>SUM(E3:E18)</f>
        <v>-1559137.669</v>
      </c>
      <c r="F19" s="128">
        <f>SUM(F3:F18)</f>
        <v>-1877444.25</v>
      </c>
      <c r="G19" s="129">
        <f>E19-现金流量表合并过程!E27</f>
        <v>0.000999999232590199</v>
      </c>
      <c r="H19" s="129">
        <f>F19-现金流量表合并过程!F27</f>
        <v>0</v>
      </c>
      <c r="I19" s="129">
        <f>E19-现金流量表合并过程!E27</f>
        <v>0.000999999931082129</v>
      </c>
      <c r="J19" s="129">
        <f>F19-现金流量表合并过程!F27</f>
        <v>0</v>
      </c>
      <c r="K19" s="129"/>
    </row>
    <row r="20" spans="1:6">
      <c r="A20" s="7" t="s">
        <v>444</v>
      </c>
      <c r="B20" s="12"/>
      <c r="C20" s="8">
        <f t="shared" si="1"/>
        <v>0</v>
      </c>
      <c r="D20" s="9"/>
      <c r="E20" s="9"/>
      <c r="F20" s="9"/>
    </row>
    <row r="21" spans="1:6">
      <c r="A21" s="7" t="s">
        <v>445</v>
      </c>
      <c r="B21" s="12">
        <v>76</v>
      </c>
      <c r="C21" s="8">
        <f t="shared" si="1"/>
        <v>0</v>
      </c>
      <c r="D21" s="9"/>
      <c r="E21" s="9"/>
      <c r="F21" s="9"/>
    </row>
    <row r="22" spans="1:6">
      <c r="A22" s="7" t="s">
        <v>446</v>
      </c>
      <c r="B22" s="12">
        <v>77</v>
      </c>
      <c r="C22" s="8">
        <f t="shared" si="1"/>
        <v>0</v>
      </c>
      <c r="D22" s="9"/>
      <c r="E22" s="9"/>
      <c r="F22" s="9"/>
    </row>
    <row r="23" spans="1:6">
      <c r="A23" s="7" t="s">
        <v>447</v>
      </c>
      <c r="B23" s="12">
        <v>78</v>
      </c>
      <c r="C23" s="8">
        <f t="shared" si="1"/>
        <v>0</v>
      </c>
      <c r="D23" s="9"/>
      <c r="E23" s="9"/>
      <c r="F23" s="9"/>
    </row>
    <row r="24" spans="1:6">
      <c r="A24" s="7" t="s">
        <v>448</v>
      </c>
      <c r="B24" s="12"/>
      <c r="C24" s="8">
        <f t="shared" si="1"/>
        <v>0</v>
      </c>
      <c r="D24" s="9"/>
      <c r="E24" s="9"/>
      <c r="F24" s="9"/>
    </row>
    <row r="25" spans="1:6">
      <c r="A25" s="7" t="s">
        <v>449</v>
      </c>
      <c r="B25" s="12">
        <v>79</v>
      </c>
      <c r="C25" s="8">
        <f t="shared" si="1"/>
        <v>55352203.58</v>
      </c>
      <c r="D25" s="9">
        <v>54318134.52</v>
      </c>
      <c r="E25" s="9">
        <f>资产负债表合并过程!E4</f>
        <v>348253.19</v>
      </c>
      <c r="F25" s="9">
        <v>685815.87</v>
      </c>
    </row>
    <row r="26" spans="1:6">
      <c r="A26" s="7" t="s">
        <v>450</v>
      </c>
      <c r="B26" s="12">
        <v>80</v>
      </c>
      <c r="C26" s="8">
        <f t="shared" si="1"/>
        <v>6144611.23</v>
      </c>
      <c r="D26" s="9">
        <v>4134269.83</v>
      </c>
      <c r="E26" s="9">
        <f>资产负债表合并过程!E84</f>
        <v>2010341.4</v>
      </c>
      <c r="F26" s="9"/>
    </row>
    <row r="27" spans="1:6">
      <c r="A27" s="7" t="s">
        <v>451</v>
      </c>
      <c r="B27" s="12">
        <v>81</v>
      </c>
      <c r="C27" s="8">
        <f t="shared" si="1"/>
        <v>0</v>
      </c>
      <c r="D27" s="9"/>
      <c r="E27" s="9"/>
      <c r="F27" s="9"/>
    </row>
    <row r="28" spans="1:6">
      <c r="A28" s="7" t="s">
        <v>452</v>
      </c>
      <c r="B28" s="12">
        <v>82</v>
      </c>
      <c r="C28" s="8">
        <f t="shared" si="1"/>
        <v>0</v>
      </c>
      <c r="D28" s="9"/>
      <c r="E28" s="9"/>
      <c r="F28" s="9"/>
    </row>
    <row r="29" s="121" customFormat="1" spans="1:8">
      <c r="A29" s="126" t="s">
        <v>512</v>
      </c>
      <c r="B29" s="127">
        <v>83</v>
      </c>
      <c r="C29" s="130">
        <f t="shared" si="1"/>
        <v>49207592.35</v>
      </c>
      <c r="D29" s="128">
        <f>D25-D26+D27-D28</f>
        <v>50183864.69</v>
      </c>
      <c r="E29" s="128">
        <f>E25-E26+E27-E28</f>
        <v>-1662088.21</v>
      </c>
      <c r="F29" s="128">
        <f>F25-F26+F27-F28</f>
        <v>685815.87</v>
      </c>
      <c r="G29" s="129"/>
      <c r="H29" s="129"/>
    </row>
    <row r="31" ht="14.25"/>
    <row r="32" ht="14.25" spans="1:6">
      <c r="A32" s="12" t="s">
        <v>425</v>
      </c>
      <c r="B32" s="12" t="s">
        <v>4</v>
      </c>
      <c r="C32" s="123" t="s">
        <v>491</v>
      </c>
      <c r="D32" s="124" t="s">
        <v>501</v>
      </c>
      <c r="E32" s="124" t="s">
        <v>502</v>
      </c>
      <c r="F32" s="124" t="s">
        <v>503</v>
      </c>
    </row>
    <row r="33" spans="1:6">
      <c r="A33" s="7" t="s">
        <v>426</v>
      </c>
      <c r="B33" s="12"/>
      <c r="C33" s="8"/>
      <c r="D33" s="9"/>
      <c r="E33" s="9"/>
      <c r="F33" s="9"/>
    </row>
    <row r="34" spans="1:6">
      <c r="A34" s="7" t="s">
        <v>427</v>
      </c>
      <c r="B34" s="12">
        <v>57</v>
      </c>
      <c r="C34" s="8">
        <f>D34+E34+F34</f>
        <v>272164.05</v>
      </c>
      <c r="D34" s="9">
        <f>利润表合并过程!L49</f>
        <v>-358894.53</v>
      </c>
      <c r="E34" s="9">
        <f>利润表合并过程!M49</f>
        <v>631058.58</v>
      </c>
      <c r="F34" s="9"/>
    </row>
    <row r="35" spans="1:6">
      <c r="A35" s="7" t="s">
        <v>428</v>
      </c>
      <c r="B35" s="12">
        <v>58</v>
      </c>
      <c r="C35" s="8">
        <f t="shared" ref="C35:C48" si="2">D35+E35+F35</f>
        <v>0</v>
      </c>
      <c r="D35" s="9">
        <v>0</v>
      </c>
      <c r="E35" s="131">
        <v>0</v>
      </c>
      <c r="F35" s="9"/>
    </row>
    <row r="36" spans="1:6">
      <c r="A36" s="7" t="s">
        <v>429</v>
      </c>
      <c r="B36" s="12">
        <v>59</v>
      </c>
      <c r="C36" s="8">
        <f t="shared" si="2"/>
        <v>492086.64</v>
      </c>
      <c r="D36" s="9">
        <v>0</v>
      </c>
      <c r="E36" s="131">
        <v>492086.64</v>
      </c>
      <c r="F36" s="9"/>
    </row>
    <row r="37" spans="1:6">
      <c r="A37" s="7" t="s">
        <v>430</v>
      </c>
      <c r="B37" s="12">
        <v>60</v>
      </c>
      <c r="C37" s="8">
        <f t="shared" si="2"/>
        <v>0</v>
      </c>
      <c r="D37" s="9">
        <v>0</v>
      </c>
      <c r="E37" s="131"/>
      <c r="F37" s="9"/>
    </row>
    <row r="38" spans="1:6">
      <c r="A38" s="7" t="s">
        <v>431</v>
      </c>
      <c r="B38" s="12">
        <v>61</v>
      </c>
      <c r="C38" s="8">
        <f t="shared" si="2"/>
        <v>0</v>
      </c>
      <c r="D38" s="9">
        <v>0</v>
      </c>
      <c r="E38" s="131"/>
      <c r="F38" s="9"/>
    </row>
    <row r="39" spans="1:6">
      <c r="A39" s="7" t="s">
        <v>432</v>
      </c>
      <c r="B39" s="12">
        <v>64</v>
      </c>
      <c r="C39" s="8">
        <f t="shared" si="2"/>
        <v>0</v>
      </c>
      <c r="D39" s="9">
        <v>0</v>
      </c>
      <c r="E39" s="131"/>
      <c r="F39" s="9"/>
    </row>
    <row r="40" spans="1:6">
      <c r="A40" s="7" t="s">
        <v>433</v>
      </c>
      <c r="B40" s="12">
        <v>65</v>
      </c>
      <c r="C40" s="8">
        <f t="shared" si="2"/>
        <v>0</v>
      </c>
      <c r="D40" s="9"/>
      <c r="E40" s="131"/>
      <c r="F40" s="9"/>
    </row>
    <row r="41" spans="1:6">
      <c r="A41" s="7" t="s">
        <v>434</v>
      </c>
      <c r="B41" s="12">
        <v>66</v>
      </c>
      <c r="C41" s="8">
        <f t="shared" si="2"/>
        <v>0</v>
      </c>
      <c r="D41" s="9">
        <v>0</v>
      </c>
      <c r="E41" s="131"/>
      <c r="F41" s="9"/>
    </row>
    <row r="42" spans="1:6">
      <c r="A42" s="7" t="s">
        <v>435</v>
      </c>
      <c r="B42" s="12">
        <v>67</v>
      </c>
      <c r="C42" s="8">
        <f t="shared" si="2"/>
        <v>0</v>
      </c>
      <c r="D42" s="9"/>
      <c r="E42" s="131"/>
      <c r="F42" s="9"/>
    </row>
    <row r="43" spans="1:6">
      <c r="A43" s="7" t="s">
        <v>436</v>
      </c>
      <c r="B43" s="12">
        <v>68</v>
      </c>
      <c r="C43" s="8">
        <f t="shared" si="2"/>
        <v>0</v>
      </c>
      <c r="D43" s="9"/>
      <c r="E43" s="131"/>
      <c r="F43" s="9"/>
    </row>
    <row r="44" spans="1:6">
      <c r="A44" s="7" t="s">
        <v>437</v>
      </c>
      <c r="B44" s="12">
        <v>69</v>
      </c>
      <c r="C44" s="8">
        <f t="shared" si="2"/>
        <v>0</v>
      </c>
      <c r="D44" s="9">
        <v>0</v>
      </c>
      <c r="E44" s="131"/>
      <c r="F44" s="9"/>
    </row>
    <row r="45" spans="1:6">
      <c r="A45" s="7" t="s">
        <v>438</v>
      </c>
      <c r="B45" s="12">
        <v>70</v>
      </c>
      <c r="C45" s="8">
        <f t="shared" si="2"/>
        <v>0</v>
      </c>
      <c r="D45" s="9">
        <v>0</v>
      </c>
      <c r="E45" s="131"/>
      <c r="F45" s="9"/>
    </row>
    <row r="46" spans="1:8">
      <c r="A46" s="7" t="s">
        <v>439</v>
      </c>
      <c r="B46" s="12">
        <v>71</v>
      </c>
      <c r="C46" s="8">
        <f t="shared" si="2"/>
        <v>0</v>
      </c>
      <c r="D46" s="9">
        <v>0</v>
      </c>
      <c r="E46" s="131">
        <v>0</v>
      </c>
      <c r="F46" s="9"/>
      <c r="H46" s="132"/>
    </row>
    <row r="47" spans="1:6">
      <c r="A47" s="7" t="s">
        <v>440</v>
      </c>
      <c r="B47" s="12">
        <v>72</v>
      </c>
      <c r="C47" s="8">
        <f t="shared" ref="C47:C60" si="3">D47+E47+F47</f>
        <v>-657122.11</v>
      </c>
      <c r="D47" s="9">
        <v>-243.6</v>
      </c>
      <c r="E47" s="131">
        <v>-656878.51</v>
      </c>
      <c r="F47" s="9"/>
    </row>
    <row r="48" spans="1:6">
      <c r="A48" s="7" t="s">
        <v>441</v>
      </c>
      <c r="B48" s="12">
        <v>73</v>
      </c>
      <c r="C48" s="8">
        <f t="shared" si="3"/>
        <v>2033923.2</v>
      </c>
      <c r="D48" s="9">
        <v>1074059.33</v>
      </c>
      <c r="E48" s="131">
        <v>959863.87</v>
      </c>
      <c r="F48" s="9"/>
    </row>
    <row r="49" spans="1:6">
      <c r="A49" s="7" t="s">
        <v>442</v>
      </c>
      <c r="B49" s="12">
        <v>74</v>
      </c>
      <c r="C49" s="8">
        <f t="shared" si="3"/>
        <v>0</v>
      </c>
      <c r="D49" s="9"/>
      <c r="E49" s="9"/>
      <c r="F49" s="9"/>
    </row>
    <row r="50" spans="1:6">
      <c r="A50" s="126" t="s">
        <v>443</v>
      </c>
      <c r="B50" s="127">
        <v>75</v>
      </c>
      <c r="C50" s="133">
        <f t="shared" si="3"/>
        <v>2141051.78</v>
      </c>
      <c r="D50" s="128">
        <f>SUM(D34:D49)</f>
        <v>714921.2</v>
      </c>
      <c r="E50" s="128">
        <f>SUM(E34:E49)</f>
        <v>1426130.58</v>
      </c>
      <c r="F50" s="134"/>
    </row>
    <row r="51" spans="1:6">
      <c r="A51" s="7" t="s">
        <v>444</v>
      </c>
      <c r="B51" s="12"/>
      <c r="C51" s="8">
        <f t="shared" si="3"/>
        <v>0</v>
      </c>
      <c r="D51" s="9"/>
      <c r="E51" s="9"/>
      <c r="F51" s="9"/>
    </row>
    <row r="52" spans="1:6">
      <c r="A52" s="7" t="s">
        <v>445</v>
      </c>
      <c r="B52" s="12">
        <v>76</v>
      </c>
      <c r="C52" s="8">
        <f t="shared" si="3"/>
        <v>0</v>
      </c>
      <c r="D52" s="9"/>
      <c r="E52" s="9"/>
      <c r="F52" s="9"/>
    </row>
    <row r="53" spans="1:6">
      <c r="A53" s="7" t="s">
        <v>446</v>
      </c>
      <c r="B53" s="12">
        <v>77</v>
      </c>
      <c r="C53" s="8">
        <f t="shared" si="3"/>
        <v>0</v>
      </c>
      <c r="D53" s="9"/>
      <c r="E53" s="9"/>
      <c r="F53" s="9"/>
    </row>
    <row r="54" spans="1:6">
      <c r="A54" s="7" t="s">
        <v>447</v>
      </c>
      <c r="B54" s="12">
        <v>78</v>
      </c>
      <c r="C54" s="8">
        <f t="shared" si="3"/>
        <v>0</v>
      </c>
      <c r="D54" s="9"/>
      <c r="E54" s="9"/>
      <c r="F54" s="9"/>
    </row>
    <row r="55" spans="1:6">
      <c r="A55" s="7" t="s">
        <v>448</v>
      </c>
      <c r="B55" s="12"/>
      <c r="C55" s="8">
        <f t="shared" si="3"/>
        <v>0</v>
      </c>
      <c r="D55" s="9"/>
      <c r="E55" s="9"/>
      <c r="F55" s="9"/>
    </row>
    <row r="56" spans="1:6">
      <c r="A56" s="7" t="s">
        <v>449</v>
      </c>
      <c r="B56" s="12">
        <v>79</v>
      </c>
      <c r="C56" s="8">
        <f t="shared" si="3"/>
        <v>6144611.23</v>
      </c>
      <c r="D56" s="9">
        <v>4134269.83</v>
      </c>
      <c r="E56" s="9">
        <v>2010341.4</v>
      </c>
      <c r="F56" s="9"/>
    </row>
    <row r="57" spans="1:6">
      <c r="A57" s="7" t="s">
        <v>450</v>
      </c>
      <c r="B57" s="12">
        <v>80</v>
      </c>
      <c r="C57" s="8">
        <f t="shared" si="3"/>
        <v>50587697.46</v>
      </c>
      <c r="D57" s="9">
        <v>50000000</v>
      </c>
      <c r="E57" s="9">
        <v>587697.46</v>
      </c>
      <c r="F57" s="9"/>
    </row>
    <row r="58" spans="1:6">
      <c r="A58" s="7" t="s">
        <v>451</v>
      </c>
      <c r="B58" s="12">
        <v>81</v>
      </c>
      <c r="C58" s="8">
        <f t="shared" si="3"/>
        <v>0</v>
      </c>
      <c r="D58" s="9"/>
      <c r="E58" s="9"/>
      <c r="F58" s="9"/>
    </row>
    <row r="59" spans="1:6">
      <c r="A59" s="7" t="s">
        <v>452</v>
      </c>
      <c r="B59" s="12">
        <v>82</v>
      </c>
      <c r="C59" s="8">
        <f t="shared" si="3"/>
        <v>0</v>
      </c>
      <c r="D59" s="9"/>
      <c r="E59" s="9"/>
      <c r="F59" s="9"/>
    </row>
    <row r="60" spans="1:6">
      <c r="A60" s="126" t="s">
        <v>512</v>
      </c>
      <c r="B60" s="127">
        <v>83</v>
      </c>
      <c r="C60" s="130">
        <f t="shared" si="3"/>
        <v>-44443086.23</v>
      </c>
      <c r="D60" s="128">
        <f>D56-D57+D58-D59</f>
        <v>-45865730.17</v>
      </c>
      <c r="E60" s="128">
        <f>E56-E57+E58-E59</f>
        <v>1422643.94</v>
      </c>
      <c r="F60" s="134"/>
    </row>
  </sheetData>
  <pageMargins left="0.75" right="0.75" top="1" bottom="1" header="0.5" footer="0.5"/>
  <pageSetup paperSize="9" orientation="portrait"/>
  <headerFooter/>
  <ignoredErrors>
    <ignoredError sqref="C37"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资产负债表2020</vt:lpstr>
      <vt:lpstr>利润表2020</vt:lpstr>
      <vt:lpstr>现流表2020</vt:lpstr>
      <vt:lpstr>现流表-附表2020</vt:lpstr>
      <vt:lpstr>权益变动表2020</vt:lpstr>
      <vt:lpstr>资产负债表合并过程</vt:lpstr>
      <vt:lpstr>利润表合并过程</vt:lpstr>
      <vt:lpstr>现金流量表合并过程</vt:lpstr>
      <vt:lpstr>附表合并过程</vt:lpstr>
      <vt:lpstr>发控-权益变动表</vt:lpstr>
      <vt:lpstr>物业-权益变动表</vt:lpstr>
      <vt:lpstr>农业-权益变动表 </vt:lpstr>
      <vt:lpstr>计提坏账</vt:lpstr>
      <vt:lpstr>调整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王大尉</dc:creator>
  <cp:lastModifiedBy>陈宗辉</cp:lastModifiedBy>
  <dcterms:created xsi:type="dcterms:W3CDTF">2020-04-11T08:13:00Z</dcterms:created>
  <dcterms:modified xsi:type="dcterms:W3CDTF">2021-04-13T14:44:18Z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KSOReadingLayout">
    <vt:bool>true</vt:bool>
  </property>
  <property fmtid="{D5CDD505-2E9C-101B-9397-08002B2CF9AE}" pid="4" name="ICV">
    <vt:lpwstr>52A43F1ED66C429F83A92F745DDA8C78</vt:lpwstr>
  </property>
</Properties>
</file>