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54" firstSheet="12" activeTab="12"/>
  </bookViews>
  <sheets>
    <sheet name="人工成本（基础表）" sheetId="1" r:id="rId1"/>
    <sheet name="1)人力资源成本预算表" sheetId="2" r:id="rId2"/>
    <sheet name="2)人员情况表" sheetId="3" r:id="rId3"/>
    <sheet name="自建项目及经营性投资项目预算表" sheetId="4" r:id="rId4"/>
    <sheet name="4)自建代建项目开发成本预算表（年）" sheetId="5" r:id="rId5"/>
    <sheet name="5)固定资产及无形资产预算表" sheetId="6" r:id="rId6"/>
    <sheet name="6)筹资预算表" sheetId="7" r:id="rId7"/>
    <sheet name="7)权益性投资预算表" sheetId="8" r:id="rId8"/>
    <sheet name="8)资产处置预算表" sheetId="9" r:id="rId9"/>
    <sheet name="9)并购项目预算明细表" sheetId="10" r:id="rId10"/>
    <sheet name="10)合作项目预算表" sheetId="11" r:id="rId11"/>
    <sheet name="11)公务用车预算明细表" sheetId="12" r:id="rId12"/>
    <sheet name="12)主营业务收支预算表" sheetId="13" r:id="rId13"/>
    <sheet name="13)其他业务收支预算表" sheetId="14" r:id="rId14"/>
    <sheet name="14)营业外收支预算表" sheetId="15" r:id="rId15"/>
    <sheet name="15)税金预算表" sheetId="16" r:id="rId16"/>
    <sheet name="16)销售（经营）费用预算表" sheetId="17" r:id="rId17"/>
    <sheet name="17)管理费用预算表" sheetId="18" r:id="rId18"/>
    <sheet name="18)财务费用预算表" sheetId="19" r:id="rId19"/>
    <sheet name="19)资产负债预算表（一）" sheetId="20" r:id="rId20"/>
    <sheet name="20)资产负债预算表（二" sheetId="21" r:id="rId21"/>
    <sheet name="21)利润预算表" sheetId="22" r:id="rId22"/>
    <sheet name="22)利润分配预算表" sheetId="23" r:id="rId23"/>
    <sheet name="23)资金预算表总表" sheetId="24" r:id="rId24"/>
    <sheet name="24)经营活动现金流量预算" sheetId="25" r:id="rId25"/>
    <sheet name="25投资活动现金流量预算" sheetId="26" r:id="rId26"/>
    <sheet name="26)筹资活动现金流量预算" sheetId="27" r:id="rId27"/>
  </sheets>
  <externalReferences>
    <externalReference r:id="rId30"/>
  </externalReferences>
  <definedNames>
    <definedName name="_xlnm.Print_Area" localSheetId="0">'人工成本（基础表）'!$A$1:$Z$169</definedName>
    <definedName name="Print_Area_MI">#REF!</definedName>
    <definedName name="_xlnm.Print_Titles">#N/A</definedName>
    <definedName name="啊啊啊">#REF!</definedName>
    <definedName name="饿">#REF!</definedName>
    <definedName name="行政办">#REF!</definedName>
    <definedName name="核算项目明细账">#REF!</definedName>
    <definedName name="汇率">#REF!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协警">#REF!</definedName>
    <definedName name="주택사업본부">#REF!</definedName>
    <definedName name="철구사업본부">#REF!</definedName>
    <definedName name="_xlfn.SUMIFS" hidden="1">#NAME?</definedName>
  </definedNames>
  <calcPr fullCalcOnLoad="1"/>
</workbook>
</file>

<file path=xl/comments1.xml><?xml version="1.0" encoding="utf-8"?>
<comments xmlns="http://schemas.openxmlformats.org/spreadsheetml/2006/main">
  <authors>
    <author>Administrator</author>
  </authors>
  <commentList>
    <comment ref="N3" authorId="0">
      <text>
        <r>
          <rPr>
            <b/>
            <sz val="9"/>
            <rFont val="宋体"/>
            <family val="0"/>
          </rPr>
          <t>Administrator:</t>
        </r>
        <r>
          <rPr>
            <sz val="9"/>
            <rFont val="宋体"/>
            <family val="0"/>
          </rPr>
          <t xml:space="preserve">
2021年个人月平均工资</t>
        </r>
      </text>
    </comment>
  </commentList>
</comments>
</file>

<file path=xl/comments10.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key="cubeViewName"&gt;并购项目预算明细表&lt;/entry&gt;
&lt;entry key="cubeViewCode"&gt;nk3002&lt;/entry&gt;
&lt;entry key="planPK"&gt;1001A81000000000A79U&lt;/entry&gt;
&lt;entry key="maxColNum"&gt;12&lt;/entry&gt;
&lt;entry key="cubePK"&gt;0001A81000000000ZUAK&lt;/entry&gt;
&lt;entry key="cubeName"&gt;并购项目预算明细表&lt;/entry&gt;
&lt;entry key="exportTS"&gt;2015-04-20 15:13:12&lt;/entry&gt;
&lt;entry key="planName"&gt;2015年并购项目预算明细表_预算数_本币(海口三江投资有限公司_人民币)&lt;/entry&gt;
&lt;entry key="cubeCode"&gt;nk3002&lt;/entry&gt;
&lt;entry key="entityName"/&gt;
&lt;entry key="exporter"/&gt;
&lt;entry key="readOnly"&gt;false&lt;/entry&gt;
&lt;entry key="cubeViewModifiedTS"&gt;2013-10-15 13:55:52&lt;/entry&gt;
&lt;entry key="dimlayout"/&gt;
&lt;entry key="verifyCode"/&gt;
&lt;entry key="maxRowNum"&gt;30&lt;/entry&gt;
&lt;entry key="cubeViewPK"&gt;0001A81000000000ZUF4&lt;/entry&gt;
&lt;/properties&gt;
</t>
        </r>
      </text>
    </comment>
  </commentList>
</comments>
</file>

<file path=xl/comments11.xml><?xml version="1.0" encoding="utf-8"?>
<comments xmlns="http://schemas.openxmlformats.org/spreadsheetml/2006/main">
  <authors>
    <author/>
  </authors>
  <commentList>
    <comment ref="A8" authorId="0">
      <text>
        <r>
          <rPr>
            <sz val="9"/>
            <rFont val="宋体"/>
            <family val="0"/>
          </rPr>
          <t xml:space="preserve">&lt;?xml version="1.0" encoding="GB2312"?&gt;
&lt;!DOCTYPE properties SYSTEM "http://java.sun.com/dtd/properties.dtd"&gt;
&lt;properties&gt;
&lt;comment/&gt;
&lt;entry key="varLineInfo"&gt;0,105&lt;/entry&gt;
&lt;entry key="classTypeID"&gt;nc.tb.excel.pub.BreakPoint&lt;/entry&gt;
&lt;entry key="nextSection"&gt;fixedline&lt;/entry&gt;
&lt;/properties&gt;
</t>
        </r>
      </text>
    </comment>
  </commentList>
</comments>
</file>

<file path=xl/comments12.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key="cubeViewName"&gt;公务用车预算明细表&lt;/entry&gt;
&lt;entry key="cubeViewCode"&gt;nk3005&lt;/entry&gt;
&lt;entry key="planPK"&gt;1001A81000000000A7AM&lt;/entry&gt;
&lt;entry key="maxColNum"&gt;12&lt;/entry&gt;
&lt;entry key="cubePK"&gt;0001A81000000000ZUAX&lt;/entry&gt;
&lt;entry key="cubeName"&gt;公务用车预算明细表&lt;/entry&gt;
&lt;entry key="exportTS"&gt;2015-04-20 15:13:24&lt;/entry&gt;
&lt;entry key="planName"&gt;2015年公务用车预算明细表_预算数_本币(海口三江投资有限公司_人民币)&lt;/entry&gt;
&lt;entry key="cubeCode"&gt;nk3005&lt;/entry&gt;
&lt;entry key="entityName"/&gt;
&lt;entry key="exporter"/&gt;
&lt;entry key="readOnly"&gt;false&lt;/entry&gt;
&lt;entry key="cubeViewModifiedTS"&gt;2013-10-15 13:56:51&lt;/entry&gt;
&lt;entry key="dimlayout"/&gt;
&lt;entry key="verifyCode"/&gt;
&lt;entry key="maxRowNum"&gt;74&lt;/entry&gt;
&lt;entry key="cubeViewPK"&gt;0001A81000000000ZUF7&lt;/entry&gt;
&lt;/properties&gt;
</t>
        </r>
      </text>
    </comment>
  </commentList>
</comments>
</file>

<file path=xl/comments13.xml><?xml version="1.0" encoding="utf-8"?>
<comments xmlns="http://schemas.openxmlformats.org/spreadsheetml/2006/main">
  <authors>
    <author>Administrator</author>
  </authors>
  <commentList>
    <comment ref="B27" authorId="0">
      <text>
        <r>
          <rPr>
            <b/>
            <sz val="9"/>
            <rFont val="宋体"/>
            <family val="0"/>
          </rPr>
          <t>Administrator:</t>
        </r>
        <r>
          <rPr>
            <sz val="9"/>
            <rFont val="宋体"/>
            <family val="0"/>
          </rPr>
          <t xml:space="preserve">
土地评估咨询费6000元
青苗补偿款44146元
土地清理费3000元</t>
        </r>
      </text>
    </comment>
  </commentList>
</comments>
</file>

<file path=xl/comments14.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key="cubeViewName"&gt;其他业务收支预算表&lt;/entry&gt;
&lt;entry key="cubeViewCode"&gt;nk2302&lt;/entry&gt;
&lt;entry key="planPK"&gt;1001A81000000000A72U&lt;/entry&gt;
&lt;entry key="maxColNum"&gt;11&lt;/entry&gt;
&lt;entry key="cubePK"&gt;0001A81000000000ZPXA&lt;/entry&gt;
&lt;entry key="cubeName"&gt;其他业务收支预算表&lt;/entry&gt;
&lt;entry key="exportTS"&gt;2015-04-20 15:13:56&lt;/entry&gt;
&lt;entry key="planName"&gt;2015年其他业务收支预算表_预算数_本币(海口三江投资有限公司_人民币)&lt;/entry&gt;
&lt;entry key="cubeCode"&gt;nk2302&lt;/entry&gt;
&lt;entry key="entityName"/&gt;
&lt;entry key="exporter"/&gt;
&lt;entry key="readOnly"&gt;false&lt;/entry&gt;
&lt;entry key="cubeViewModifiedTS"&gt;2013-10-10 16:10:02&lt;/entry&gt;
&lt;entry key="dimlayout"/&gt;
&lt;entry key="verifyCode"/&gt;
&lt;entry key="maxRowNum"&gt;10&lt;/entry&gt;
&lt;entry key="cubeViewPK"&gt;0001A81000000000ZPY0&lt;/entry&gt;
&lt;/properties&gt;
</t>
        </r>
      </text>
    </comment>
  </commentList>
</comments>
</file>

<file path=xl/comments16.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key="cubeViewName"&gt;税金预算表&lt;/entry&gt;
&lt;entry key="cubeViewCode"&gt;nk24&lt;/entry&gt;
&lt;entry key="planPK"&gt;1001A81000000000A76Q&lt;/entry&gt;
&lt;entry key="maxColNum"&gt;10&lt;/entry&gt;
&lt;entry key="cubePK"&gt;0001A81000000000ZPZP&lt;/entry&gt;
&lt;entry key="cubeName"&gt;税金预算表&lt;/entry&gt;
&lt;entry key="exportTS"&gt;2015-04-20 15:13:44&lt;/entry&gt;
&lt;entry key="planName"&gt;2015年税金预算表_预算数_本币(海口三江投资有限公司_人民币)&lt;/entry&gt;
&lt;entry key="cubeCode"&gt;nk24&lt;/entry&gt;
&lt;entry key="entityName"/&gt;
&lt;entry key="exporter"/&gt;
&lt;entry key="readOnly"&gt;false&lt;/entry&gt;
&lt;entry key="cubeViewModifiedTS"&gt;2013-10-10 17:34:25&lt;/entry&gt;
&lt;entry key="dimlayout"/&gt;
&lt;entry key="verifyCode"/&gt;
&lt;entry key="maxRowNum"&gt;73&lt;/entry&gt;
&lt;entry key="cubeViewPK"&gt;0001A81000000000ZQ01&lt;/entry&gt;
&lt;/properties&gt;
</t>
        </r>
      </text>
    </comment>
  </commentList>
</comments>
</file>

<file path=xl/comments17.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key="cubeViewName"&gt;销售（经营）费用预算表&lt;/entry&gt;
&lt;entry key="cubeViewCode"&gt;nk2304&lt;/entry&gt;
&lt;entry key="planPK"&gt;1001A81000000000A74E&lt;/entry&gt;
&lt;entry key="maxColNum"&gt;11&lt;/entry&gt;
&lt;entry key="cubePK"&gt;0001A81000000000ZPY5&lt;/entry&gt;
&lt;entry key="cubeName"&gt;销售（经营）费用预算表&lt;/entry&gt;
&lt;entry key="exportTS"&gt;2015-04-20 15:14:07&lt;/entry&gt;
&lt;entry key="planName"&gt;2015年销售（经营）费用预算表_预算数_本币(海口三江投资有限公司_人民币)&lt;/entry&gt;
&lt;entry key="cubeCode"&gt;nk2304&lt;/entry&gt;
&lt;entry key="entityName"/&gt;
&lt;entry key="exporter"/&gt;
&lt;entry key="readOnly"&gt;false&lt;/entry&gt;
&lt;entry key="cubeViewModifiedTS"&gt;2013-10-10 16:14:26&lt;/entry&gt;
&lt;entry key="dimlayout"/&gt;
&lt;entry key="verifyCode"/&gt;
&lt;entry key="maxRowNum"&gt;41&lt;/entry&gt;
&lt;entry key="cubeViewPK"&gt;0001A81000000000ZPZ6&lt;/entry&gt;
&lt;/properties&gt;
</t>
        </r>
      </text>
    </comment>
  </commentList>
</comments>
</file>

<file path=xl/comments18.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key="cubeViewName"&gt;管理费用预算表&lt;/entry&gt;
&lt;entry key="cubeViewCode"&gt;nk2305&lt;/entry&gt;
&lt;entry key="planPK"&gt;1001A81000000000A756&lt;/entry&gt;
&lt;entry key="maxColNum"&gt;11&lt;/entry&gt;
&lt;entry key="cubePK"&gt;0001A81000000000ZPYH&lt;/entry&gt;
&lt;entry key="cubeName"&gt;管理费用预算表&lt;/entry&gt;
&lt;entry key="exportTS"&gt;2015-04-20 15:14:13&lt;/entry&gt;
&lt;entry key="planName"&gt;2015年管理费用预算表_预算数_本币(海口三江投资有限公司_人民币)&lt;/entry&gt;
&lt;entry key="cubeCode"&gt;nk2305&lt;/entry&gt;
&lt;entry key="entityName"/&gt;
&lt;entry key="exporter"/&gt;
&lt;entry key="readOnly"&gt;false&lt;/entry&gt;
&lt;entry key="cubeViewModifiedTS"&gt;2013-10-10 16:15:51&lt;/entry&gt;
&lt;entry key="dimlayout"/&gt;
&lt;entry key="verifyCode"/&gt;
&lt;entry key="maxRowNum"&gt;44&lt;/entry&gt;
&lt;entry key="cubeViewPK"&gt;0001A81000000000ZPZ8&lt;/entry&gt;
&lt;/properties&gt;
</t>
        </r>
      </text>
    </comment>
  </commentList>
</comments>
</file>

<file path=xl/comments19.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key="cubeViewName"&gt;财务费用预算表&lt;/entry&gt;
&lt;entry key="cubeViewCode"&gt;nk2306&lt;/entry&gt;
&lt;entry key="planPK"&gt;1001A81000000000A75Y&lt;/entry&gt;
&lt;entry key="maxColNum"&gt;11&lt;/entry&gt;
&lt;entry key="cubePK"&gt;0001A81000000000ZPYT&lt;/entry&gt;
&lt;entry key="cubeName"&gt;财务费用预算表&lt;/entry&gt;
&lt;entry key="exportTS"&gt;2015-04-20 15:14:19&lt;/entry&gt;
&lt;entry key="planName"&gt;2015年财务费用预算表_预算数_本币(海口三江投资有限公司_人民币)&lt;/entry&gt;
&lt;entry key="cubeCode"&gt;nk2306&lt;/entry&gt;
&lt;entry key="entityName"/&gt;
&lt;entry key="exporter"/&gt;
&lt;entry key="readOnly"&gt;false&lt;/entry&gt;
&lt;entry key="cubeViewModifiedTS"&gt;2013-10-10 16:35:48&lt;/entry&gt;
&lt;entry key="dimlayout"/&gt;
&lt;entry key="verifyCode"/&gt;
&lt;entry key="maxRowNum"&gt;11&lt;/entry&gt;
&lt;entry key="cubeViewPK"&gt;0001A81000000000ZPZA&lt;/entry&gt;
&lt;/properties&gt;
</t>
        </r>
      </text>
    </comment>
  </commentList>
</comments>
</file>

<file path=xl/comments2.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key="cubeViewName"&gt;人力资源成本预算表&lt;/entry&gt;
&lt;entry key="cubeViewCode"&gt;nk25&lt;/entry&gt;
&lt;entry key="planPK"&gt;1001A81000000000A7Z4&lt;/entry&gt;
&lt;entry key="maxColNum"&gt;18&lt;/entry&gt;
&lt;entry key="cubePK"&gt;0001A81000000000ZW4P&lt;/entry&gt;
&lt;entry key="cubeName"&gt;人力资源成本预算表&lt;/entry&gt;
&lt;entry key="exportTS"&gt;2015-04-20 15:12:31&lt;/entry&gt;
&lt;entry key="planName"&gt;2015年人力资源成本预算表_预算数_本币(海口三江投资有限公司_人民币)&lt;/entry&gt;
&lt;entry key="cubeCode"&gt;nk25&lt;/entry&gt;
&lt;entry key="entityName"/&gt;
&lt;entry key="exporter"/&gt;
&lt;entry key="readOnly"&gt;false&lt;/entry&gt;
&lt;entry key="cubeViewModifiedTS"&gt;2013-10-16 11:36:36&lt;/entry&gt;
&lt;entry key="dimlayout"/&gt;
&lt;entry key="verifyCode"/&gt;
&lt;entry key="maxRowNum"&gt;46&lt;/entry&gt;
&lt;entry key="cubeViewPK"&gt;0001A81000000000ZW52&lt;/entry&gt;
&lt;/properties&gt;
</t>
        </r>
      </text>
    </comment>
  </commentList>
</comments>
</file>

<file path=xl/comments20.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key="cubeViewName"&gt;资产负债预算表（一）&lt;/entry&gt;
&lt;entry key="cubeViewCode"&gt;nk21&lt;/entry&gt;
&lt;entry key="planPK"&gt;1001A81000000000A70I&lt;/entry&gt;
&lt;entry key="maxColNum"&gt;8&lt;/entry&gt;
&lt;entry key="cubePK"&gt;1001A8100000000074Y8&lt;/entry&gt;
&lt;entry key="cubeName"&gt;资产负债预算表（一）&lt;/entry&gt;
&lt;entry key="exportTS"&gt;2015-04-20 15:14:22&lt;/entry&gt;
&lt;entry key="planName"&gt;2015年资产负债预算表（一）_预算数_本币(海口三江投资有限公司_人民币)&lt;/entry&gt;
&lt;entry key="cubeCode"&gt;nk21&lt;/entry&gt;
&lt;entry key="entityName"/&gt;
&lt;entry key="exporter"/&gt;
&lt;entry key="readOnly"&gt;false&lt;/entry&gt;
&lt;entry key="cubeViewModifiedTS"&gt;2013-10-10 14:52:17&lt;/entry&gt;
&lt;entry key="dimlayout"/&gt;
&lt;entry key="verifyCode"/&gt;
&lt;entry key="maxRowNum"&gt;44&lt;/entry&gt;
&lt;entry key="cubeViewPK"&gt;1001A81000000000750E&lt;/entry&gt;
&lt;/properties&gt;
</t>
        </r>
      </text>
    </comment>
  </commentList>
</comments>
</file>

<file path=xl/comments21.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key="cubeViewName"&gt;资产负债预算表（二）&lt;/entry&gt;
&lt;entry key="cubeViewCode"&gt;nk22&lt;/entry&gt;
&lt;entry key="planPK"&gt;1001A81000000000A71A&lt;/entry&gt;
&lt;entry key="maxColNum"&gt;8&lt;/entry&gt;
&lt;entry key="cubePK"&gt;1001A8100000000074YK&lt;/entry&gt;
&lt;entry key="cubeName"&gt;资产负债预算表（二）&lt;/entry&gt;
&lt;entry key="exportTS"&gt;2015-04-20 15:13:50&lt;/entry&gt;
&lt;entry key="planName"&gt;2015年资产负债预算表（二）_预算数_本币(海口三江投资有限公司_人民币)&lt;/entry&gt;
&lt;entry key="cubeCode"&gt;nk22&lt;/entry&gt;
&lt;entry key="entityName"/&gt;
&lt;entry key="exporter"/&gt;
&lt;entry key="readOnly"&gt;false&lt;/entry&gt;
&lt;entry key="cubeViewModifiedTS"&gt;2013-10-10 15:07:58&lt;/entry&gt;
&lt;entry key="dimlayout"/&gt;
&lt;entry key="verifyCode"/&gt;
&lt;entry key="maxRowNum"&gt;40&lt;/entry&gt;
&lt;entry key="cubeViewPK"&gt;0001A81000000000ZPWO&lt;/entry&gt;
&lt;/properties&gt;
</t>
        </r>
      </text>
    </comment>
  </commentList>
</comments>
</file>

<file path=xl/comments23.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key="cubeViewName"&gt;利润分配预算表&lt;/entry&gt;
&lt;entry key="cubeViewCode"&gt;nk2300&lt;/entry&gt;
&lt;entry key="planPK"&gt;1001A81000000000A7YC&lt;/entry&gt;
&lt;entry key="maxColNum"&gt;5&lt;/entry&gt;
&lt;entry key="cubePK"&gt;1001A8100000000074Z8&lt;/entry&gt;
&lt;entry key="cubeName"&gt;利润分配预算表&lt;/entry&gt;
&lt;entry key="exportTS"&gt;2015-04-20 15:13:39&lt;/entry&gt;
&lt;entry key="planName"&gt;2015年利润分配预算表_预算数_本币(海口三江投资有限公司_人民币)&lt;/entry&gt;
&lt;entry key="cubeCode"&gt;nk2300&lt;/entry&gt;
&lt;entry key="entityName"/&gt;
&lt;entry key="exporter"/&gt;
&lt;entry key="readOnly"&gt;false&lt;/entry&gt;
&lt;entry key="cubeViewModifiedTS"&gt;2013-10-10 15:15:07&lt;/entry&gt;
&lt;entry key="dimlayout"/&gt;
&lt;entry key="verifyCode"/&gt;
&lt;entry key="maxRowNum"&gt;27&lt;/entry&gt;
&lt;entry key="cubeViewPK"&gt;0001A81000000000ZPWW&lt;/entry&gt;
&lt;/properties&gt;
</t>
        </r>
      </text>
    </comment>
  </commentList>
</comments>
</file>

<file path=xl/comments24.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key="cubeViewName"&gt;资金预算表总表&lt;/entry&gt;
&lt;entry key="cubeViewCode"&gt;nk11&lt;/entry&gt;
&lt;entry key="planPK"&gt;1001A81000000000A7WS&lt;/entry&gt;
&lt;entry key="maxColNum"&gt;11&lt;/entry&gt;
&lt;entry key="cubePK"&gt;0001A81000000000ZIQL&lt;/entry&gt;
&lt;entry key="cubeName"&gt;资金预算表总表&lt;/entry&gt;
&lt;entry key="exportTS"&gt;2015-04-20 15:13:20&lt;/entry&gt;
&lt;entry key="planName"&gt;2015年资金预算表总表_预算数_本币(海口三江投资有限公司_人民币)&lt;/entry&gt;
&lt;entry key="cubeCode"&gt;nk11&lt;/entry&gt;
&lt;entry key="entityName"/&gt;
&lt;entry key="exporter"/&gt;
&lt;entry key="readOnly"&gt;false&lt;/entry&gt;
&lt;entry key="cubeViewModifiedTS"&gt;2013-10-10 10:56:37&lt;/entry&gt;
&lt;entry key="dimlayout"/&gt;
&lt;entry key="verifyCode"/&gt;
&lt;entry key="maxRowNum"&gt;46&lt;/entry&gt;
&lt;entry key="cubeViewPK"&gt;0001A81000000000ZIRX&lt;/entry&gt;
&lt;/properties&gt;
</t>
        </r>
      </text>
    </comment>
  </commentList>
</comments>
</file>

<file path=xl/comments25.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key="cubeViewName"&gt;经营活动现金流量预算表&lt;/entry&gt;
&lt;entry key="cubeViewCode"&gt;nk1101&lt;/entry&gt;
&lt;entry key="planPK"&gt;1001A81000000000A6Y6&lt;/entry&gt;
&lt;entry key="maxColNum"&gt;11&lt;/entry&gt;
&lt;entry key="cubePK"&gt;0001A81000000000ZIQX&lt;/entry&gt;
&lt;entry key="cubeName"&gt;经营活动现金流量预算&lt;/entry&gt;
&lt;entry key="exportTS"&gt;2015-04-20 15:14:02&lt;/entry&gt;
&lt;entry key="planName"&gt;2015年经营活动现金流量预算_预算数_本币(海口三江投资有限公司_人民币)&lt;/entry&gt;
&lt;entry key="cubeCode"&gt;nk1101&lt;/entry&gt;
&lt;entry key="entityName"/&gt;
&lt;entry key="exporter"/&gt;
&lt;entry key="readOnly"&gt;false&lt;/entry&gt;
&lt;entry key="cubeViewModifiedTS"&gt;2013-10-10 11:41:58&lt;/entry&gt;
&lt;entry key="dimlayout"/&gt;
&lt;entry key="verifyCode"/&gt;
&lt;entry key="maxRowNum"&gt;50&lt;/entry&gt;
&lt;entry key="cubeViewPK"&gt;0001A81000000000ZIRZ&lt;/entry&gt;
&lt;/properties&gt;
</t>
        </r>
      </text>
    </comment>
  </commentList>
</comments>
</file>

<file path=xl/comments26.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key="cubeViewName"&gt;投资活动现金流量预算表&lt;/entry&gt;
&lt;entry key="cubeViewCode"&gt;nk1102&lt;/entry&gt;
&lt;entry key="planPK"&gt;1001A81000000000A6YY&lt;/entry&gt;
&lt;entry key="maxColNum"&gt;11&lt;/entry&gt;
&lt;entry key="cubePK"&gt;0001A81000000000ZIR9&lt;/entry&gt;
&lt;entry key="cubeName"&gt;投资活动现金流量预算&lt;/entry&gt;
&lt;entry key="exportTS"&gt;2015-04-20 15:14:10&lt;/entry&gt;
&lt;entry key="planName"&gt;2015年投资活动现金流量预算_预算数_本币(海口三江投资有限公司_人民币)&lt;/entry&gt;
&lt;entry key="cubeCode"&gt;nk1102&lt;/entry&gt;
&lt;entry key="entityName"/&gt;
&lt;entry key="exporter"/&gt;
&lt;entry key="readOnly"&gt;false&lt;/entry&gt;
&lt;entry key="cubeViewModifiedTS"&gt;2013-10-10 11:41:22&lt;/entry&gt;
&lt;entry key="dimlayout"/&gt;
&lt;entry key="verifyCode"/&gt;
&lt;entry key="maxRowNum"&gt;26&lt;/entry&gt;
&lt;entry key="cubeViewPK"&gt;0001A81000000000ZIS1&lt;/entry&gt;
&lt;/properties&gt;
</t>
        </r>
      </text>
    </comment>
  </commentList>
</comments>
</file>

<file path=xl/comments27.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key="cubeViewName"&gt;筹资活动现金流量预算表&lt;/entry&gt;
&lt;entry key="cubeViewCode"&gt;nk1103&lt;/entry&gt;
&lt;entry key="planPK"&gt;1001A81000000000A6ZQ&lt;/entry&gt;
&lt;entry key="maxColNum"&gt;11&lt;/entry&gt;
&lt;entry key="cubePK"&gt;0001A81000000000ZIRL&lt;/entry&gt;
&lt;entry key="cubeName"&gt;筹资活动现金流量预算&lt;/entry&gt;
&lt;entry key="exportTS"&gt;2015-04-20 15:14:17&lt;/entry&gt;
&lt;entry key="planName"&gt;2015年筹资活动现金流量预算_预算数_本币(海口三江投资有限公司_人民币)&lt;/entry&gt;
&lt;entry key="cubeCode"&gt;nk1103&lt;/entry&gt;
&lt;entry key="entityName"/&gt;
&lt;entry key="exporter"/&gt;
&lt;entry key="readOnly"&gt;false&lt;/entry&gt;
&lt;entry key="cubeViewModifiedTS"&gt;2013-10-10 11:40:51&lt;/entry&gt;
&lt;entry key="dimlayout"/&gt;
&lt;entry key="verifyCode"/&gt;
&lt;entry key="maxRowNum"&gt;14&lt;/entry&gt;
&lt;entry key="cubeViewPK"&gt;0001A81000000000ZIS3&lt;/entry&gt;
&lt;/properties&gt;
</t>
        </r>
      </text>
    </comment>
  </commentList>
</comments>
</file>

<file path=xl/comments3.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key="cubeViewName"&gt;人员情况表&lt;/entry&gt;
&lt;entry key="cubeViewCode"&gt;nk26&lt;/entry&gt;
&lt;entry key="planPK"&gt;1001A81000000000A77I&lt;/entry&gt;
&lt;entry key="maxColNum"&gt;14&lt;/entry&gt;
&lt;entry key="cubePK"&gt;0001A81000000000ZQ03&lt;/entry&gt;
&lt;entry key="cubeName"&gt;人员情况表&lt;/entry&gt;
&lt;entry key="exportTS"&gt;2015-04-20 15:12:51&lt;/entry&gt;
&lt;entry key="planName"&gt;2015年人员情况表_预算数_本币(海口三江投资有限公司_人民币)&lt;/entry&gt;
&lt;entry key="cubeCode"&gt;nk26&lt;/entry&gt;
&lt;entry key="entityName"/&gt;
&lt;entry key="exporter"/&gt;
&lt;entry key="readOnly"&gt;false&lt;/entry&gt;
&lt;entry key="cubeViewModifiedTS"&gt;2013-10-10 17:31:32&lt;/entry&gt;
&lt;entry key="dimlayout"/&gt;
&lt;entry key="verifyCode"/&gt;
&lt;entry key="maxRowNum"&gt;14&lt;/entry&gt;
&lt;entry key="cubeViewPK"&gt;0001A81000000000ZQ0F&lt;/entry&gt;
&lt;/properties&gt;
</t>
        </r>
      </text>
    </comment>
  </commentList>
</comments>
</file>

<file path=xl/comments4.xml><?xml version="1.0" encoding="utf-8"?>
<comments xmlns="http://schemas.openxmlformats.org/spreadsheetml/2006/main">
  <authors>
    <author/>
  </authors>
  <commentList>
    <comment ref="A17" authorId="0">
      <text>
        <r>
          <rPr>
            <sz val="9"/>
            <rFont val="宋体"/>
            <family val="0"/>
          </rPr>
          <t xml:space="preserve">&lt;?xml version="1.0" encoding="GB2312"?&gt;
&lt;!DOCTYPE properties SYSTEM "http://java.sun.com/dtd/properties.dtd"&gt;
&lt;properties&gt;
&lt;comment/&gt;
&lt;entry key="varLineInfo"&gt;0,105&lt;/entry&gt;
&lt;entry key="classTypeID"&gt;nc.tb.excel.pub.BreakPoint&lt;/entry&gt;
&lt;entry key="nextSection"&gt;fixedline&lt;/entry&gt;
&lt;/properties&gt;
</t>
        </r>
      </text>
    </comment>
  </commentList>
</comments>
</file>

<file path=xl/comments6.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key="cubeViewName"&gt;固定资产及无形资产预算表&lt;/entry&gt;
&lt;entry key="cubeViewCode"&gt;nk030&lt;/entry&gt;
&lt;entry key="planPK"&gt;1001A81000000000A78A&lt;/entry&gt;
&lt;entry key="maxColNum"&gt;11&lt;/entry&gt;
&lt;entry key="cubePK"&gt;0001A81000000000ZU9T&lt;/entry&gt;
&lt;entry key="cubeName"&gt;固定资产及无形资产预算表&lt;/entry&gt;
&lt;entry key="exportTS"&gt;2015-04-20 15:13:00&lt;/entry&gt;
&lt;entry key="planName"&gt;2015年固定资产及无形资产预算表_预算数_本币(海口三江投资有限公司_人民币)&lt;/entry&gt;
&lt;entry key="cubeCode"&gt;nk30&lt;/entry&gt;
&lt;entry key="entityName"/&gt;
&lt;entry key="exporter"/&gt;
&lt;entry key="readOnly"&gt;false&lt;/entry&gt;
&lt;entry key="cubeViewModifiedTS"&gt;2013-10-15 13:45:14&lt;/entry&gt;
&lt;entry key="dimlayout"/&gt;
&lt;entry key="verifyCode"/&gt;
&lt;entry key="maxRowNum"&gt;29&lt;/entry&gt;
&lt;entry key="cubeViewPK"&gt;0001A81000000000ZUEW&lt;/entry&gt;
&lt;/properties&gt;
</t>
        </r>
      </text>
    </comment>
  </commentList>
</comments>
</file>

<file path=xl/comments7.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key="cubeViewName"&gt;筹资预算表&lt;/entry&gt;
&lt;entry key="cubeViewCode"&gt;nk34&lt;/entry&gt;
&lt;entry key="planPK"&gt;1001A81000000000A7RM&lt;/entry&gt;
&lt;entry key="maxColNum"&gt;14&lt;/entry&gt;
&lt;entry key="cubePK"&gt;0001A81000000000ZUDH&lt;/entry&gt;
&lt;entry key="cubeName"&gt;筹资预算表&lt;/entry&gt;
&lt;entry key="exportTS"&gt;2015-04-20 15:13:03&lt;/entry&gt;
&lt;entry key="planName"&gt;2015年筹资预算表_预算数_本币(海口三江投资有限公司_人民币)&lt;/entry&gt;
&lt;entry key="cubeCode"&gt;nk34&lt;/entry&gt;
&lt;entry key="entityName"/&gt;
&lt;entry key="exporter"/&gt;
&lt;entry key="readOnly"&gt;false&lt;/entry&gt;
&lt;entry key="cubeViewModifiedTS"&gt;2013-10-15 14:03:47&lt;/entry&gt;
&lt;entry key="dimlayout"/&gt;
&lt;entry key="verifyCode"/&gt;
&lt;entry key="maxRowNum"&gt;27&lt;/entry&gt;
&lt;entry key="cubeViewPK"&gt;0001A81000000000ZUFF&lt;/entry&gt;
&lt;/properties&gt;
</t>
        </r>
      </text>
    </comment>
  </commentList>
</comments>
</file>

<file path=xl/comments8.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key="cubeViewName"&gt;权益性投资预算表（不包括并购项目）&lt;/entry&gt;
&lt;entry key="cubeViewCode"&gt;nk3001&lt;/entry&gt;
&lt;entry key="planPK"&gt;1001A81000000000A792&lt;/entry&gt;
&lt;entry key="maxColNum"&gt;12&lt;/entry&gt;
&lt;entry key="cubePK"&gt;0001A81000000000ZUA8&lt;/entry&gt;
&lt;entry key="cubeName"&gt;权益性投资预算表（不包括并购项目）&lt;/entry&gt;
&lt;entry key="exportTS"&gt;2015-04-20 15:13:06&lt;/entry&gt;
&lt;entry key="planName"&gt;2015年权益性投资预算表（不包括并购项目）_预算数_本币(海口三江投资有限公司_人民币)&lt;/entry&gt;
&lt;entry key="cubeCode"&gt;nk3001&lt;/entry&gt;
&lt;entry key="entityName"/&gt;
&lt;entry key="exporter"/&gt;
&lt;entry key="readOnly"&gt;false&lt;/entry&gt;
&lt;entry key="cubeViewModifiedTS"&gt;2013-10-15 13:55:10&lt;/entry&gt;
&lt;entry key="dimlayout"/&gt;
&lt;entry key="verifyCode"/&gt;
&lt;entry key="maxRowNum"&gt;29&lt;/entry&gt;
&lt;entry key="cubeViewPK"&gt;0001A81000000000ZUF1&lt;/entry&gt;
&lt;/properties&gt;
</t>
        </r>
      </text>
    </comment>
  </commentList>
</comments>
</file>

<file path=xl/comments9.xml><?xml version="1.0" encoding="utf-8"?>
<comments xmlns="http://schemas.openxmlformats.org/spreadsheetml/2006/main">
  <authors>
    <author/>
  </authors>
  <commentList>
    <comment ref="A1" authorId="0">
      <text>
        <r>
          <rPr>
            <sz val="9"/>
            <rFont val="宋体"/>
            <family val="0"/>
          </rPr>
          <t xml:space="preserve">&lt;?xml version="1.0" encoding="GB2312"?&gt;
&lt;!DOCTYPE properties SYSTEM "http://java.sun.com/dtd/properties.dtd"&gt;
&lt;properties&gt;
&lt;comment/&gt;
&lt;entry key="variableNum"&gt;0&lt;/entry&gt;
&lt;entry key="planModifiedTS"/&gt;
&lt;entry key="classTypeID"&gt;nc.tb.excel.pub.ExcelHeader&lt;/entry&gt;
&lt;entry key="exportType"&gt;0&lt;/entry&gt;
&lt;entry key="cubeViewName"&gt;资产处置预算表&lt;/entry&gt;
&lt;entry key="cubeViewCode"&gt;nk35&lt;/entry&gt;
&lt;entry key="planPK"&gt;1001A81000000000A7SE&lt;/entry&gt;
&lt;entry key="maxColNum"&gt;13&lt;/entry&gt;
&lt;entry key="cubePK"&gt;0001A81000000000ZUDT&lt;/entry&gt;
&lt;entry key="cubeName"&gt;资产处置预算表&lt;/entry&gt;
&lt;entry key="exportTS"&gt;2015-04-20 15:13:09&lt;/entry&gt;
&lt;entry key="planName"&gt;2015年资产处置预算表_预算数_本币(海口三江投资有限公司_人民币)&lt;/entry&gt;
&lt;entry key="cubeCode"&gt;nk35&lt;/entry&gt;
&lt;entry key="entityName"/&gt;
&lt;entry key="exporter"/&gt;
&lt;entry key="readOnly"&gt;false&lt;/entry&gt;
&lt;entry key="cubeViewModifiedTS"&gt;2013-10-15 14:04:17&lt;/entry&gt;
&lt;entry key="dimlayout"/&gt;
&lt;entry key="verifyCode"/&gt;
&lt;entry key="maxRowNum"&gt;21&lt;/entry&gt;
&lt;entry key="cubeViewPK"&gt;0001A81000000000ZUFK&lt;/entry&gt;
&lt;/properties&gt;
</t>
        </r>
      </text>
    </comment>
  </commentList>
</comments>
</file>

<file path=xl/sharedStrings.xml><?xml version="1.0" encoding="utf-8"?>
<sst xmlns="http://schemas.openxmlformats.org/spreadsheetml/2006/main" count="2924" uniqueCount="1055">
  <si>
    <t>海口市三江农场发展控股有限公司人工成本测算表（2022年）</t>
  </si>
  <si>
    <t>单位：元</t>
  </si>
  <si>
    <t>序号</t>
  </si>
  <si>
    <t>部门</t>
  </si>
  <si>
    <t>姓名</t>
  </si>
  <si>
    <t>职务</t>
  </si>
  <si>
    <t>岗位工资</t>
  </si>
  <si>
    <t>基础绩效</t>
  </si>
  <si>
    <t>津贴</t>
  </si>
  <si>
    <t>福利费</t>
  </si>
  <si>
    <t>应发工资</t>
  </si>
  <si>
    <t>缴费基数</t>
  </si>
  <si>
    <t>月度五险一金</t>
  </si>
  <si>
    <t>工会经费（2%）</t>
  </si>
  <si>
    <t>职工教育经费（1.5%）</t>
  </si>
  <si>
    <t>月度奖励性绩效</t>
  </si>
  <si>
    <t>月成本合计</t>
  </si>
  <si>
    <t>年度奖励性绩效</t>
  </si>
  <si>
    <t>全年成本</t>
  </si>
  <si>
    <t>人员类别</t>
  </si>
  <si>
    <t>工龄</t>
  </si>
  <si>
    <t>职称/岗位</t>
  </si>
  <si>
    <t>子女/通讯</t>
  </si>
  <si>
    <t>伙食费</t>
  </si>
  <si>
    <t>通讯费</t>
  </si>
  <si>
    <t>高温补助</t>
  </si>
  <si>
    <t>养老保险（16%）</t>
  </si>
  <si>
    <t>医疗保险（8.5%）</t>
  </si>
  <si>
    <t>失业保险（0.5%）</t>
  </si>
  <si>
    <t>工伤保险（0.28%）</t>
  </si>
  <si>
    <t>生育保险（0.0%）</t>
  </si>
  <si>
    <t>住房公积金（12%）</t>
  </si>
  <si>
    <t>养老(8%)</t>
  </si>
  <si>
    <t>医疗（2%)</t>
  </si>
  <si>
    <t>失业(0.5%)</t>
  </si>
  <si>
    <t>月单位社保补差</t>
  </si>
  <si>
    <t>备注</t>
  </si>
  <si>
    <t>场领导</t>
  </si>
  <si>
    <t>调任</t>
  </si>
  <si>
    <t>书记</t>
  </si>
  <si>
    <t>中</t>
  </si>
  <si>
    <t>高层</t>
  </si>
  <si>
    <t>中层</t>
  </si>
  <si>
    <t>周经业</t>
  </si>
  <si>
    <t>总经理</t>
  </si>
  <si>
    <t>洪理庄</t>
  </si>
  <si>
    <t>副总经理</t>
  </si>
  <si>
    <t>卓忠勇</t>
  </si>
  <si>
    <t>纪委书记</t>
  </si>
  <si>
    <t>领导层</t>
  </si>
  <si>
    <t>党委办</t>
  </si>
  <si>
    <t>符致森</t>
  </si>
  <si>
    <t>主任</t>
  </si>
  <si>
    <t>国土部</t>
  </si>
  <si>
    <t>黄闻山</t>
  </si>
  <si>
    <t>支部书记</t>
  </si>
  <si>
    <t>符永妙</t>
  </si>
  <si>
    <t>主管</t>
  </si>
  <si>
    <t>职员</t>
  </si>
  <si>
    <t>行政办</t>
  </si>
  <si>
    <t>张海花</t>
  </si>
  <si>
    <t>9月退休</t>
  </si>
  <si>
    <t>柯明</t>
  </si>
  <si>
    <t>邢福丰</t>
  </si>
  <si>
    <t>何小娜</t>
  </si>
  <si>
    <t>信访专员</t>
  </si>
  <si>
    <t xml:space="preserve"> </t>
  </si>
  <si>
    <t>第三季度招聘</t>
  </si>
  <si>
    <t>职员1</t>
  </si>
  <si>
    <t>党委会办公室</t>
  </si>
  <si>
    <t>王菲菲</t>
  </si>
  <si>
    <t>陈明慧</t>
  </si>
  <si>
    <t>副主任</t>
  </si>
  <si>
    <t>陈帆</t>
  </si>
  <si>
    <t>陈文鹏</t>
  </si>
  <si>
    <t>谢伟亮</t>
  </si>
  <si>
    <t>提拔主管</t>
  </si>
  <si>
    <t>预计提1名主管</t>
  </si>
  <si>
    <t>新增1</t>
  </si>
  <si>
    <t xml:space="preserve">第二季度招聘 </t>
  </si>
  <si>
    <t>*职员</t>
  </si>
  <si>
    <t>董事会办公室</t>
  </si>
  <si>
    <t>周安顺</t>
  </si>
  <si>
    <t>纪检部</t>
  </si>
  <si>
    <t>王小娜</t>
  </si>
  <si>
    <t>卢文扬</t>
  </si>
  <si>
    <t>何彩娜</t>
  </si>
  <si>
    <t>纪检监察室</t>
  </si>
  <si>
    <t>严小冬</t>
  </si>
  <si>
    <t>经理</t>
  </si>
  <si>
    <t>刘桐</t>
  </si>
  <si>
    <t>李一星</t>
  </si>
  <si>
    <t>高荣壮</t>
  </si>
  <si>
    <t>王清清</t>
  </si>
  <si>
    <t>新增</t>
  </si>
  <si>
    <t>副经理</t>
  </si>
  <si>
    <t>第二季度招聘</t>
  </si>
  <si>
    <t>*中层</t>
  </si>
  <si>
    <t>投资发展部</t>
  </si>
  <si>
    <t>经管部</t>
  </si>
  <si>
    <t>韩雷</t>
  </si>
  <si>
    <t>助理、经理</t>
  </si>
  <si>
    <t>何奋</t>
  </si>
  <si>
    <t>吴多江</t>
  </si>
  <si>
    <t>工会</t>
  </si>
  <si>
    <t>黄宏超</t>
  </si>
  <si>
    <t>韩小丽</t>
  </si>
  <si>
    <t>陈军</t>
  </si>
  <si>
    <t>林海</t>
  </si>
  <si>
    <t>李丹丹</t>
  </si>
  <si>
    <t>王运才</t>
  </si>
  <si>
    <t>陈明庆</t>
  </si>
  <si>
    <t>唐学</t>
  </si>
  <si>
    <t>郑庆新</t>
  </si>
  <si>
    <t>吴挺宝</t>
  </si>
  <si>
    <t>预计提一名主管</t>
  </si>
  <si>
    <t>资产管理部</t>
  </si>
  <si>
    <t>财务部</t>
  </si>
  <si>
    <t>文国梅</t>
  </si>
  <si>
    <t>张梦</t>
  </si>
  <si>
    <t>张曼玲</t>
  </si>
  <si>
    <t>吴钦雄</t>
  </si>
  <si>
    <t>黄莉</t>
  </si>
  <si>
    <t>财务管理部</t>
  </si>
  <si>
    <t>符浩</t>
  </si>
  <si>
    <t>张鹏</t>
  </si>
  <si>
    <t>吴飞</t>
  </si>
  <si>
    <t>审计部</t>
  </si>
  <si>
    <t>人力部</t>
  </si>
  <si>
    <t>符剑</t>
  </si>
  <si>
    <t>吴多兵</t>
  </si>
  <si>
    <t>凌亚娟</t>
  </si>
  <si>
    <t>李丹阳</t>
  </si>
  <si>
    <t>人力资源部</t>
  </si>
  <si>
    <t>合计 56 人</t>
  </si>
  <si>
    <t>黄远蓬</t>
  </si>
  <si>
    <t>柳世光</t>
  </si>
  <si>
    <t>王锦</t>
  </si>
  <si>
    <t>丁国鑫</t>
  </si>
  <si>
    <t>周经福</t>
  </si>
  <si>
    <t>周柏</t>
  </si>
  <si>
    <t>农业公司</t>
  </si>
  <si>
    <t>鲍创才</t>
  </si>
  <si>
    <t>陈传发</t>
  </si>
  <si>
    <t>副总</t>
  </si>
  <si>
    <t>吴红姗</t>
  </si>
  <si>
    <t>邢贞</t>
  </si>
  <si>
    <t>出纳</t>
  </si>
  <si>
    <t>何启鹏</t>
  </si>
  <si>
    <t>管理员</t>
  </si>
  <si>
    <t>苏定韧</t>
  </si>
  <si>
    <t>吴坤天</t>
  </si>
  <si>
    <t>队长</t>
  </si>
  <si>
    <t>宋名胜</t>
  </si>
  <si>
    <t>副队长</t>
  </si>
  <si>
    <t>李布兴</t>
  </si>
  <si>
    <t>联防员</t>
  </si>
  <si>
    <t>黄兹彬</t>
  </si>
  <si>
    <t>姚芝慧</t>
  </si>
  <si>
    <t>工勤</t>
  </si>
  <si>
    <t>谢燕红</t>
  </si>
  <si>
    <t>谢丽荣</t>
  </si>
  <si>
    <t>食堂</t>
  </si>
  <si>
    <t>陈连芳</t>
  </si>
  <si>
    <t>保洁员</t>
  </si>
  <si>
    <t>杨柳</t>
  </si>
  <si>
    <t>何瑞林</t>
  </si>
  <si>
    <t>司机</t>
  </si>
  <si>
    <t>莫志亮</t>
  </si>
  <si>
    <t>陈雷</t>
  </si>
  <si>
    <t>欧福峰</t>
  </si>
  <si>
    <t>张林</t>
  </si>
  <si>
    <t>陈文彪</t>
  </si>
  <si>
    <t>卢辉基</t>
  </si>
  <si>
    <t>保安</t>
  </si>
  <si>
    <t>李真</t>
  </si>
  <si>
    <t>黄世贵</t>
  </si>
  <si>
    <t xml:space="preserve">云永耀 </t>
  </si>
  <si>
    <t>文国杨</t>
  </si>
  <si>
    <t>王照明</t>
  </si>
  <si>
    <t>黄波</t>
  </si>
  <si>
    <t>韩福定</t>
  </si>
  <si>
    <t>水工</t>
  </si>
  <si>
    <t>韦珍甫</t>
  </si>
  <si>
    <t>电工</t>
  </si>
  <si>
    <t>林鸿武</t>
  </si>
  <si>
    <t>王英江</t>
  </si>
  <si>
    <t>范平邦</t>
  </si>
  <si>
    <t>林志强</t>
  </si>
  <si>
    <t>曾弟</t>
  </si>
  <si>
    <t>林志敬</t>
  </si>
  <si>
    <t>吴清山</t>
  </si>
  <si>
    <t>魏仕文</t>
  </si>
  <si>
    <t>王示</t>
  </si>
  <si>
    <t>清洁工</t>
  </si>
  <si>
    <t>廖少连</t>
  </si>
  <si>
    <t>张曼</t>
  </si>
  <si>
    <t>苏娃玲</t>
  </si>
  <si>
    <t>林柳</t>
  </si>
  <si>
    <t>戴丽</t>
  </si>
  <si>
    <t>蒙敏</t>
  </si>
  <si>
    <t>王拾荣</t>
  </si>
  <si>
    <t>王月兰</t>
  </si>
  <si>
    <t>陈文斌</t>
  </si>
  <si>
    <t>黄玉玲</t>
  </si>
  <si>
    <t>邓小丹</t>
  </si>
  <si>
    <t>陈金屏</t>
  </si>
  <si>
    <t>陈淑娟</t>
  </si>
  <si>
    <t>陈瑜</t>
  </si>
  <si>
    <t>陈芳</t>
  </si>
  <si>
    <t>叶红霞</t>
  </si>
  <si>
    <t>陈金丽</t>
  </si>
  <si>
    <t>陈小凤</t>
  </si>
  <si>
    <t>方欣</t>
  </si>
  <si>
    <t>陈春慧</t>
  </si>
  <si>
    <t>林兰</t>
  </si>
  <si>
    <t>吴妚荣</t>
  </si>
  <si>
    <t>凌冬梅</t>
  </si>
  <si>
    <t>陈玉英</t>
  </si>
  <si>
    <t>周雪梅</t>
  </si>
  <si>
    <t>欧燕南</t>
  </si>
  <si>
    <t>杜世金</t>
  </si>
  <si>
    <t>林英花</t>
  </si>
  <si>
    <t>王海华</t>
  </si>
  <si>
    <t>黄少芳</t>
  </si>
  <si>
    <t>施春嫒</t>
  </si>
  <si>
    <t>黄奕忠</t>
  </si>
  <si>
    <t>吴忠</t>
  </si>
  <si>
    <t>符史腾</t>
  </si>
  <si>
    <t>舍管员</t>
  </si>
  <si>
    <t>吴淑利</t>
  </si>
  <si>
    <t>林菊玲</t>
  </si>
  <si>
    <t>杨秀兰</t>
  </si>
  <si>
    <t>蔡春霞</t>
  </si>
  <si>
    <t>张黑弟</t>
  </si>
  <si>
    <t>返聘</t>
  </si>
  <si>
    <t>物业公司</t>
  </si>
  <si>
    <t>吴多繁</t>
  </si>
  <si>
    <t>副部长</t>
  </si>
  <si>
    <t>离岗人员</t>
  </si>
  <si>
    <t>合      计</t>
  </si>
  <si>
    <t>全年补差</t>
  </si>
  <si>
    <t>岗位津贴</t>
  </si>
  <si>
    <t>职工人数</t>
  </si>
  <si>
    <t>工资总额不含年终绩效</t>
  </si>
  <si>
    <t>工资总额含年终绩效</t>
  </si>
  <si>
    <t>职工平均年工资</t>
  </si>
  <si>
    <t>基本年薪=核定的上年度市属国有企业在岗职工年平均工资×企业规模系数×2.5×分配系数</t>
  </si>
  <si>
    <t>企业规模系数</t>
  </si>
  <si>
    <t>基本年薪倍数</t>
  </si>
  <si>
    <t>分配系数</t>
  </si>
  <si>
    <t>基本年薪/万元(按6.3万元基数)</t>
  </si>
  <si>
    <t>绩效年薪=基本年薪×年度经营业绩考核评价系数×绩效年薪调节系数</t>
  </si>
  <si>
    <t>评价系数</t>
  </si>
  <si>
    <t>调节系数</t>
  </si>
  <si>
    <t>绩效年薪</t>
  </si>
  <si>
    <t>基本年薪/万元(按7.05万元基数)</t>
  </si>
  <si>
    <t>任期激励收入计算公式为：任期激励收入=（任期内基本年薪和绩效年薪总水平）×任期考核评价系数</t>
  </si>
  <si>
    <t>任期内基本年薪和绩效年薪总水平</t>
  </si>
  <si>
    <t>任期考核评价系数</t>
  </si>
  <si>
    <t>任期激励收入</t>
  </si>
  <si>
    <t>基本年薪</t>
  </si>
  <si>
    <t>任期激励收入15%</t>
  </si>
  <si>
    <t>合计</t>
  </si>
  <si>
    <t>(按6.3万元基数)</t>
  </si>
  <si>
    <t>(按7.05万元基数)</t>
  </si>
  <si>
    <t>50人</t>
  </si>
  <si>
    <t>56人</t>
  </si>
  <si>
    <t>领导</t>
  </si>
  <si>
    <t>备注：（一）新增7名员工。预计在第二季度招聘投资1名副经理，审计1名副经理，财务1名副经理，资产2名职员，董办1名职员；第三季度招聘党办1名信访专员。
（二）提拔 
预计在第一季度进行提拔工作，人力、纪检、审计、董办、资产五个部门预计各提1名主管。
（三）退休
2022年9月张海花退休，12月林海、唐学退休。</t>
  </si>
  <si>
    <t xml:space="preserve">职员 </t>
  </si>
  <si>
    <t>人力资源成本预算表</t>
  </si>
  <si>
    <t>编制单位：海口市三江农场</t>
  </si>
  <si>
    <t>2022年度</t>
  </si>
  <si>
    <t>单位；元</t>
  </si>
  <si>
    <t>季度</t>
  </si>
  <si>
    <t>项目</t>
  </si>
  <si>
    <t>上年数（2021年）</t>
  </si>
  <si>
    <t>预算年度</t>
  </si>
  <si>
    <t>增长率</t>
  </si>
  <si>
    <t>1-9月实际数</t>
  </si>
  <si>
    <t>10-12月预测数</t>
  </si>
  <si>
    <t>人均(元、人)</t>
  </si>
  <si>
    <t>工资</t>
  </si>
  <si>
    <t>总额</t>
  </si>
  <si>
    <t>职工福利</t>
  </si>
  <si>
    <t>社保</t>
  </si>
  <si>
    <t>住房公积金</t>
  </si>
  <si>
    <t>工会经费</t>
  </si>
  <si>
    <t>职工教育经费</t>
  </si>
  <si>
    <t>其他</t>
  </si>
  <si>
    <t>工资小计</t>
  </si>
  <si>
    <t>基础工资</t>
  </si>
  <si>
    <t>季度绩效</t>
  </si>
  <si>
    <t>年度绩效</t>
  </si>
  <si>
    <t>加值班补助</t>
  </si>
  <si>
    <t>年合计</t>
  </si>
  <si>
    <t>人力成本</t>
  </si>
  <si>
    <r>
      <t xml:space="preserve">    在岗职工</t>
    </r>
    <r>
      <rPr>
        <sz val="8.85"/>
        <rFont val="宋体"/>
        <family val="0"/>
      </rPr>
      <t>(  人）</t>
    </r>
  </si>
  <si>
    <t xml:space="preserve">       领导层（  人）</t>
  </si>
  <si>
    <t xml:space="preserve">       中层管理人员（  人）</t>
  </si>
  <si>
    <t xml:space="preserve">       一般管理人员（  人）</t>
  </si>
  <si>
    <t xml:space="preserve">       聘请人员（  人）</t>
  </si>
  <si>
    <t xml:space="preserve">       返聘人员（  人）</t>
  </si>
  <si>
    <t xml:space="preserve">       临时人员（  人）</t>
  </si>
  <si>
    <t xml:space="preserve">    不在岗职工（ 2 人）</t>
  </si>
  <si>
    <t>1季度</t>
  </si>
  <si>
    <t>2季度</t>
  </si>
  <si>
    <t>3季度</t>
  </si>
  <si>
    <t>4季度</t>
  </si>
  <si>
    <t>编制人：吴钦雄</t>
  </si>
  <si>
    <t>审核：文国梅</t>
  </si>
  <si>
    <t>人员情况表</t>
  </si>
  <si>
    <t>单位：人</t>
  </si>
  <si>
    <t>上年数</t>
  </si>
  <si>
    <t>编制人数</t>
  </si>
  <si>
    <t>实际人数</t>
  </si>
  <si>
    <t>发放工资人数</t>
  </si>
  <si>
    <t>社保缴费人数</t>
  </si>
  <si>
    <t>人数合计</t>
  </si>
  <si>
    <t xml:space="preserve">    在岗职工</t>
  </si>
  <si>
    <t xml:space="preserve">       领导层</t>
  </si>
  <si>
    <t xml:space="preserve">       中层管理人员</t>
  </si>
  <si>
    <t xml:space="preserve">       一般管理人员</t>
  </si>
  <si>
    <t xml:space="preserve">       聘请人员</t>
  </si>
  <si>
    <t xml:space="preserve">       返聘人员</t>
  </si>
  <si>
    <t xml:space="preserve">       临时人员</t>
  </si>
  <si>
    <t xml:space="preserve">    不在岗职工</t>
  </si>
  <si>
    <t>审核人：文国梅</t>
  </si>
  <si>
    <t>自建项目及经营性投资项目预算表</t>
  </si>
  <si>
    <t>编制单位：海口市三江农场发展控股有限公司</t>
  </si>
  <si>
    <t>项目类型</t>
  </si>
  <si>
    <t>资金来源</t>
  </si>
  <si>
    <t>开工日期</t>
  </si>
  <si>
    <t>项目总概算</t>
  </si>
  <si>
    <t>累计已投入额</t>
  </si>
  <si>
    <t>本年预计投入</t>
  </si>
  <si>
    <t>代建项目</t>
  </si>
  <si>
    <t>市财政资金</t>
  </si>
  <si>
    <t>新建</t>
  </si>
  <si>
    <t>自有资金</t>
  </si>
  <si>
    <t>2022.3.1</t>
  </si>
  <si>
    <t xml:space="preserve">    合计</t>
  </si>
  <si>
    <t>编制人：</t>
  </si>
  <si>
    <t>审核：</t>
  </si>
  <si>
    <t>自建/代建项目开发成本预算表</t>
  </si>
  <si>
    <t>三江农场新埠洋大排沟硬化工程</t>
  </si>
  <si>
    <t>三江农场新埠洋菜篮子基地建设项目</t>
  </si>
  <si>
    <t>项目（二）</t>
  </si>
  <si>
    <t>三江农场村道小巷硬化工程</t>
  </si>
  <si>
    <t>三江农场乡村道路建设项目</t>
  </si>
  <si>
    <t>三江农场职工培训学校项目</t>
  </si>
  <si>
    <t>三江农场美成大道损毁修复工程</t>
  </si>
  <si>
    <t>三江农场南洋水库三防路改造工程</t>
  </si>
  <si>
    <t>职工培训学校外围设施</t>
  </si>
  <si>
    <t>概算/批复金额</t>
  </si>
  <si>
    <t>建筑面积（平方米）</t>
  </si>
  <si>
    <t>1783米</t>
  </si>
  <si>
    <t>水渠6125米，道路1989米，加宽1688米</t>
  </si>
  <si>
    <t>51.126Km  ,112906㎡</t>
  </si>
  <si>
    <t>50条,22623.5米*3.5米</t>
  </si>
  <si>
    <t>2279.45m2</t>
  </si>
  <si>
    <t>3855米（四级公路）</t>
  </si>
  <si>
    <t>1725米（四级公路）</t>
  </si>
  <si>
    <t>项目总概算(万元）</t>
  </si>
  <si>
    <t>开发成本合计</t>
  </si>
  <si>
    <t>土地成本</t>
  </si>
  <si>
    <t xml:space="preserve">    政府地价及市政配套费</t>
  </si>
  <si>
    <t xml:space="preserve">    拆迁补偿费</t>
  </si>
  <si>
    <t xml:space="preserve">    土地周边环境提升费</t>
  </si>
  <si>
    <t xml:space="preserve">    其它费用</t>
  </si>
  <si>
    <t>开发前期工程费</t>
  </si>
  <si>
    <t xml:space="preserve">    勘察设计费</t>
  </si>
  <si>
    <t xml:space="preserve">    图审费</t>
  </si>
  <si>
    <t xml:space="preserve">    测量费</t>
  </si>
  <si>
    <t xml:space="preserve">    预算费(概算审查费）</t>
  </si>
  <si>
    <t xml:space="preserve">    建议书编制费</t>
  </si>
  <si>
    <t xml:space="preserve">    环评编制费</t>
  </si>
  <si>
    <t xml:space="preserve">    可研编制费</t>
  </si>
  <si>
    <t xml:space="preserve">    人防费</t>
  </si>
  <si>
    <t xml:space="preserve">   初步设计评审费</t>
  </si>
  <si>
    <t xml:space="preserve">    设计招标费</t>
  </si>
  <si>
    <t xml:space="preserve">    交易服务费</t>
  </si>
  <si>
    <t xml:space="preserve">    工程量及控制价</t>
  </si>
  <si>
    <t xml:space="preserve">    地勘费</t>
  </si>
  <si>
    <t xml:space="preserve">    节能编制报告</t>
  </si>
  <si>
    <t xml:space="preserve">    报批报建费</t>
  </si>
  <si>
    <t xml:space="preserve">    三通一平费</t>
  </si>
  <si>
    <t xml:space="preserve">    环境评价费</t>
  </si>
  <si>
    <t xml:space="preserve">    城建配套及规费</t>
  </si>
  <si>
    <t xml:space="preserve">    白蚁防治费</t>
  </si>
  <si>
    <t xml:space="preserve">    墙改费</t>
  </si>
  <si>
    <t xml:space="preserve">    高教费</t>
  </si>
  <si>
    <t xml:space="preserve">    房产交易费</t>
  </si>
  <si>
    <t xml:space="preserve">    规划许可证费</t>
  </si>
  <si>
    <t xml:space="preserve">    预备费</t>
  </si>
  <si>
    <t xml:space="preserve">    咨询费（跟踪审计）</t>
  </si>
  <si>
    <t xml:space="preserve">    招投标费</t>
  </si>
  <si>
    <t xml:space="preserve">    其他前期工程费</t>
  </si>
  <si>
    <t>基础设施费</t>
  </si>
  <si>
    <t xml:space="preserve">    供水费</t>
  </si>
  <si>
    <t xml:space="preserve">    供电费</t>
  </si>
  <si>
    <t xml:space="preserve">    煤气费</t>
  </si>
  <si>
    <t xml:space="preserve">    环卫设施费</t>
  </si>
  <si>
    <t xml:space="preserve">    排污费</t>
  </si>
  <si>
    <t xml:space="preserve">    绿化及景观布置费</t>
  </si>
  <si>
    <t xml:space="preserve">    道路费</t>
  </si>
  <si>
    <t>建筑安装工程费</t>
  </si>
  <si>
    <t xml:space="preserve">    建安工程</t>
  </si>
  <si>
    <t xml:space="preserve">    设施设备费</t>
  </si>
  <si>
    <t>ppp项目全过程审计费</t>
  </si>
  <si>
    <t xml:space="preserve">    工程审计费</t>
  </si>
  <si>
    <t xml:space="preserve">    基础工程费</t>
  </si>
  <si>
    <t xml:space="preserve">    钢结构工程费</t>
  </si>
  <si>
    <t xml:space="preserve">    监理费</t>
  </si>
  <si>
    <t>工程保险费</t>
  </si>
  <si>
    <t>配套设施费</t>
  </si>
  <si>
    <t xml:space="preserve">    会所</t>
  </si>
  <si>
    <t xml:space="preserve">    游泳池</t>
  </si>
  <si>
    <t xml:space="preserve">    小区娱乐设施</t>
  </si>
  <si>
    <t xml:space="preserve">    网球场</t>
  </si>
  <si>
    <t xml:space="preserve">    学校</t>
  </si>
  <si>
    <t xml:space="preserve">    其他设施</t>
  </si>
  <si>
    <t>开发间接费用(管理费）</t>
  </si>
  <si>
    <t>备注事项：</t>
  </si>
  <si>
    <t>1、各单位按项目填报，根据立项，修改项目名称。</t>
  </si>
  <si>
    <t>固定资产及无形资产投资预算表</t>
  </si>
  <si>
    <t>全年预计数</t>
  </si>
  <si>
    <t xml:space="preserve">        合计</t>
  </si>
  <si>
    <t>固定资产投资</t>
  </si>
  <si>
    <t xml:space="preserve">    电器设备</t>
  </si>
  <si>
    <t xml:space="preserve">    机械设备</t>
  </si>
  <si>
    <t xml:space="preserve">    办公家具</t>
  </si>
  <si>
    <t xml:space="preserve">    融资租赁固定资产</t>
  </si>
  <si>
    <t xml:space="preserve">    其他设备</t>
  </si>
  <si>
    <t>无形资产投资</t>
  </si>
  <si>
    <t xml:space="preserve">    土地使用权</t>
  </si>
  <si>
    <t xml:space="preserve">    专利权</t>
  </si>
  <si>
    <t xml:space="preserve">    非专利技术</t>
  </si>
  <si>
    <t xml:space="preserve">    商标权</t>
  </si>
  <si>
    <t xml:space="preserve">    著作权</t>
  </si>
  <si>
    <t xml:space="preserve">    管理用软件</t>
  </si>
  <si>
    <t>档案数字化</t>
  </si>
  <si>
    <t xml:space="preserve">    其他无形资产</t>
  </si>
  <si>
    <t>1、本表各项目填报数据与账务核算固定资产及无形资产对应科目保持一致；</t>
  </si>
  <si>
    <t>2、对单件资产预计价格超过5万元的，需要在填报说明中详细说明。</t>
  </si>
  <si>
    <t>填报说明：</t>
  </si>
  <si>
    <t>筹资预算表</t>
  </si>
  <si>
    <t xml:space="preserve">项目 </t>
  </si>
  <si>
    <t>借款用途</t>
  </si>
  <si>
    <t>融资起止时间</t>
  </si>
  <si>
    <t>融资利率</t>
  </si>
  <si>
    <t>还款来源</t>
  </si>
  <si>
    <t>资金净融入</t>
  </si>
  <si>
    <t xml:space="preserve">    融入资金</t>
  </si>
  <si>
    <t xml:space="preserve">        银行借款</t>
  </si>
  <si>
    <t xml:space="preserve">        财务公司借款</t>
  </si>
  <si>
    <t xml:space="preserve">        吸收外部投资</t>
  </si>
  <si>
    <t xml:space="preserve">        其他借款</t>
  </si>
  <si>
    <t xml:space="preserve">    归还资金</t>
  </si>
  <si>
    <t xml:space="preserve">        归还银行借款</t>
  </si>
  <si>
    <t xml:space="preserve">        归还财务公司借款</t>
  </si>
  <si>
    <t xml:space="preserve">        归还外部投资</t>
  </si>
  <si>
    <t xml:space="preserve">        归还其他借款</t>
  </si>
  <si>
    <t>1、在填报说明中逐笔说明借款方式、用途等详细信息；</t>
  </si>
  <si>
    <t>2、银行借款+财务公司借款=《筹资活动现金流量预算》中"借款所收到的现金"；吸收外部投资=《筹资活动现金流量预算》中"吸收投资所收到的现金"；</t>
  </si>
  <si>
    <t>3、归还银行借款+归还财务公司借款+归还外部投资=《筹资活动现金流量预算》中"偿还债务所支付的现金"；</t>
  </si>
  <si>
    <t>权益性投资明细预算表（不包括并购项目）</t>
  </si>
  <si>
    <t>被投资单位或项目</t>
  </si>
  <si>
    <t>投资方式</t>
  </si>
  <si>
    <t>投资类型</t>
  </si>
  <si>
    <t>项目总投资</t>
  </si>
  <si>
    <t>项目合计</t>
  </si>
  <si>
    <t>X</t>
  </si>
  <si>
    <t>1</t>
  </si>
  <si>
    <t>2</t>
  </si>
  <si>
    <t>3</t>
  </si>
  <si>
    <t>4</t>
  </si>
  <si>
    <t>5</t>
  </si>
  <si>
    <t>6</t>
  </si>
  <si>
    <t>7</t>
  </si>
  <si>
    <t>8</t>
  </si>
  <si>
    <t>9</t>
  </si>
  <si>
    <t>10</t>
  </si>
  <si>
    <t>11</t>
  </si>
  <si>
    <t>12</t>
  </si>
  <si>
    <t>13</t>
  </si>
  <si>
    <t>14</t>
  </si>
  <si>
    <t>1、投入方式分为：货币投入、非货币资产投入。</t>
  </si>
  <si>
    <t>2、投资类型分为：全资、控股、参股，全资指投资占被投资单位100%的股份，控股指投资比例在50%以上低于100%的投资，参股指投资比例低于50%的投资。</t>
  </si>
  <si>
    <t>3、投资额：对非货币资产投入的项目，该非货币资产有评估值，按评估值填报。</t>
  </si>
  <si>
    <t>4、各项目预算年度数据应与账务核算“长期股权投资”科目保持一致。</t>
  </si>
  <si>
    <t>资产处置预算表</t>
  </si>
  <si>
    <t>资产类别</t>
  </si>
  <si>
    <t>资产购置日期</t>
  </si>
  <si>
    <t>资产状况</t>
  </si>
  <si>
    <t>存放地点</t>
  </si>
  <si>
    <t>账面原值</t>
  </si>
  <si>
    <t>账面净值</t>
  </si>
  <si>
    <t>预算年度资产处置净损益</t>
  </si>
  <si>
    <t>往来款项类</t>
  </si>
  <si>
    <t>办公设备类</t>
  </si>
  <si>
    <t>非办公设备类</t>
  </si>
  <si>
    <t>不动产类</t>
  </si>
  <si>
    <t>无形资产类</t>
  </si>
  <si>
    <t>其它</t>
  </si>
  <si>
    <t>1、请单笔逐项在填报说明中详细说明资产状况及处置原因；</t>
  </si>
  <si>
    <t>2、预计处理净损益与进入营业外收支金额保持一致；</t>
  </si>
  <si>
    <t>3、资产处置前，按制度文件审批流程报批后再进行处理。</t>
  </si>
  <si>
    <t>4、资产状况分：往来款类按账龄填写；设备类按在用、停用、闲置、报废 ；不动产类按在用、闲置填列；</t>
  </si>
  <si>
    <t>并购项目预算明细表</t>
  </si>
  <si>
    <t>1、并购业务指一个企业购买其他企业的全部或部分资产或股权，从而影响、控制其他企业的经营管理，其他企业保留或者消灭法人资格。</t>
  </si>
  <si>
    <t>2、投入方式分为：货币投入、非货币资产投入。</t>
  </si>
  <si>
    <t>3、投入类型分为：全资、控股。</t>
  </si>
  <si>
    <t>4、投资额：对非货币资产投入的项目，该非货币资产有评估值，按评估值填报。</t>
  </si>
  <si>
    <t>5、预算年度预算投资额应与账务核算中“长期股权投资”口径保持一致。</t>
  </si>
  <si>
    <t>合作项目预算表</t>
  </si>
  <si>
    <t>单位名称</t>
  </si>
  <si>
    <t>单位编码</t>
  </si>
  <si>
    <t>三江大厦</t>
  </si>
  <si>
    <t>抚州市中凯投资有限公司</t>
  </si>
  <si>
    <t>/</t>
  </si>
  <si>
    <t>合作方出资</t>
  </si>
  <si>
    <t>场部城市更新（自改）项目或房地产开发项目或安居房项目</t>
  </si>
  <si>
    <t>待定</t>
  </si>
  <si>
    <t>2022.10.1</t>
  </si>
  <si>
    <t>海口市三江农场</t>
  </si>
  <si>
    <t>合作项目是我方出土地，对方出资金建设项目。</t>
  </si>
  <si>
    <t>公务用车预算明细表</t>
  </si>
  <si>
    <t>一、公务车辆采购计划</t>
  </si>
  <si>
    <t>品牌</t>
  </si>
  <si>
    <t>规格型号</t>
  </si>
  <si>
    <t>排量</t>
  </si>
  <si>
    <t>座位数</t>
  </si>
  <si>
    <t>数量</t>
  </si>
  <si>
    <t>一、现有车辆情况</t>
  </si>
  <si>
    <t>购买日期</t>
  </si>
  <si>
    <t>大众途威</t>
  </si>
  <si>
    <t>WVGEH35N</t>
  </si>
  <si>
    <t>别克牌</t>
  </si>
  <si>
    <t>SGM6475DAX3</t>
  </si>
  <si>
    <t>大众牌</t>
  </si>
  <si>
    <t>FV7166BABBG</t>
  </si>
  <si>
    <t>丰田牌</t>
  </si>
  <si>
    <t>GTM6480ASL</t>
  </si>
  <si>
    <t>SGM7243ATA</t>
  </si>
  <si>
    <t>丰田佳美</t>
  </si>
  <si>
    <t>ACV30L-AEPNKW</t>
  </si>
  <si>
    <t>已报废</t>
  </si>
  <si>
    <t>江铃牌</t>
  </si>
  <si>
    <t>JX1020TS3</t>
  </si>
  <si>
    <t>15</t>
  </si>
  <si>
    <t>1、新购置公务用车需在备注或填报说明中详细说明购车事由。</t>
  </si>
  <si>
    <t>2、现有车辆中，填报信息与账务核算保持一致口径，如车辆不在本单位使用，请在备注或填报说明中说明情况。</t>
  </si>
  <si>
    <t>3、预算年度公务车辆采购预算应与账务核算中“交通运输设备”保持一致。</t>
  </si>
  <si>
    <t>主营业务收支预算表</t>
  </si>
  <si>
    <t>编制单位:海口市三江农场</t>
  </si>
  <si>
    <t>单位:  元</t>
  </si>
  <si>
    <t>主营业务收合计</t>
  </si>
  <si>
    <t xml:space="preserve">    农业板块业务收入</t>
  </si>
  <si>
    <t xml:space="preserve">        农场土地租金</t>
  </si>
  <si>
    <t xml:space="preserve">        村庄土地租金</t>
  </si>
  <si>
    <t xml:space="preserve">        生态补偿金</t>
  </si>
  <si>
    <t>生态补偿</t>
  </si>
  <si>
    <t xml:space="preserve">    市政市容板块业务收入</t>
  </si>
  <si>
    <t xml:space="preserve">        环境卫生收入</t>
  </si>
  <si>
    <t xml:space="preserve">        路灯管养收入</t>
  </si>
  <si>
    <t xml:space="preserve">        道路养护收入</t>
  </si>
  <si>
    <t xml:space="preserve">    学校管理板块业务收入</t>
  </si>
  <si>
    <t xml:space="preserve">    自来水板块业务收入</t>
  </si>
  <si>
    <t xml:space="preserve">        自来水费收入</t>
  </si>
  <si>
    <t xml:space="preserve">        开户费收入</t>
  </si>
  <si>
    <t xml:space="preserve">    服务业板块业务收入</t>
  </si>
  <si>
    <r>
      <t xml:space="preserve"> </t>
    </r>
    <r>
      <rPr>
        <sz val="8.85"/>
        <rFont val="宋体"/>
        <family val="0"/>
      </rPr>
      <t xml:space="preserve">     </t>
    </r>
  </si>
  <si>
    <t xml:space="preserve">    旅游业板块业务收入</t>
  </si>
  <si>
    <t xml:space="preserve">  </t>
  </si>
  <si>
    <t>主营业务成本合计</t>
  </si>
  <si>
    <t xml:space="preserve">    农业板块业务支出</t>
  </si>
  <si>
    <t xml:space="preserve">        资产代管费</t>
  </si>
  <si>
    <t>发控代管费1200万元（生态补偿354万元，改革经费526万元，租金320万元）</t>
  </si>
  <si>
    <t xml:space="preserve">        村务管理费</t>
  </si>
  <si>
    <t xml:space="preserve">        村庄租金返还</t>
  </si>
  <si>
    <t xml:space="preserve">        土地出租咨询费</t>
  </si>
  <si>
    <t xml:space="preserve">    市政市容板块业务支出</t>
  </si>
  <si>
    <t xml:space="preserve">        环境卫生支出</t>
  </si>
  <si>
    <r>
      <t xml:space="preserve"> </t>
    </r>
    <r>
      <rPr>
        <sz val="8.85"/>
        <rFont val="宋体"/>
        <family val="0"/>
      </rPr>
      <t xml:space="preserve">         其中：人工成本</t>
    </r>
  </si>
  <si>
    <t xml:space="preserve">        路灯管养支出</t>
  </si>
  <si>
    <t xml:space="preserve">        道路养护支出</t>
  </si>
  <si>
    <t xml:space="preserve">    学校管理板块业务支出</t>
  </si>
  <si>
    <t xml:space="preserve">    自来水板块业务支出</t>
  </si>
  <si>
    <t xml:space="preserve">        自来水费支出</t>
  </si>
  <si>
    <t xml:space="preserve">        开户费支出</t>
  </si>
  <si>
    <t xml:space="preserve">    服务业板块业务支出</t>
  </si>
  <si>
    <t xml:space="preserve">    旅游业板块业务支出</t>
  </si>
  <si>
    <t>编制人:吴钦雄</t>
  </si>
  <si>
    <t>审核人:文国梅</t>
  </si>
  <si>
    <t>其他业务收支预算表</t>
  </si>
  <si>
    <t>单位：  元</t>
  </si>
  <si>
    <t>其他业务收支差额</t>
  </si>
  <si>
    <t xml:space="preserve">    其他业务收入</t>
  </si>
  <si>
    <t xml:space="preserve">        其中：财产租赁收入</t>
  </si>
  <si>
    <t xml:space="preserve">              代建管理费</t>
  </si>
  <si>
    <t xml:space="preserve">    其他业务成本</t>
  </si>
  <si>
    <t xml:space="preserve">        其中： 财产租赁成本</t>
  </si>
  <si>
    <t xml:space="preserve">               发控代建费</t>
  </si>
  <si>
    <t>营业外收支预算表</t>
  </si>
  <si>
    <t>单位： 元</t>
  </si>
  <si>
    <t>营业外收入</t>
  </si>
  <si>
    <t xml:space="preserve">    盘盈收入</t>
  </si>
  <si>
    <t xml:space="preserve">    处置非流动资产收入</t>
  </si>
  <si>
    <t xml:space="preserve">    非货币性资产交换</t>
  </si>
  <si>
    <t xml:space="preserve">    债务重组收入</t>
  </si>
  <si>
    <t xml:space="preserve">    捐赠收入</t>
  </si>
  <si>
    <t xml:space="preserve">    政府补助</t>
  </si>
  <si>
    <t>预留245万元</t>
  </si>
  <si>
    <t xml:space="preserve">    罚款收入</t>
  </si>
  <si>
    <t xml:space="preserve">    税金返还</t>
  </si>
  <si>
    <t xml:space="preserve">    社会性收入</t>
  </si>
  <si>
    <t xml:space="preserve">    其他</t>
  </si>
  <si>
    <t>营业外支出</t>
  </si>
  <si>
    <t xml:space="preserve">    非流动资产处置损失</t>
  </si>
  <si>
    <t xml:space="preserve">    非货币性资产交换损失</t>
  </si>
  <si>
    <t xml:space="preserve">    债务重组损失</t>
  </si>
  <si>
    <t xml:space="preserve">    罚款支出</t>
  </si>
  <si>
    <t xml:space="preserve">    公益性捐赠支出</t>
  </si>
  <si>
    <t xml:space="preserve">    盘亏损失</t>
  </si>
  <si>
    <t xml:space="preserve">    赔偿金</t>
  </si>
  <si>
    <t xml:space="preserve">    滞纳金</t>
  </si>
  <si>
    <t xml:space="preserve">    非常损失</t>
  </si>
  <si>
    <t xml:space="preserve">    处理产成品损失</t>
  </si>
  <si>
    <t xml:space="preserve">    支农支出</t>
  </si>
  <si>
    <t>农业规范化</t>
  </si>
  <si>
    <t xml:space="preserve">    社会性支出</t>
  </si>
  <si>
    <t xml:space="preserve">       市政市容管养</t>
  </si>
  <si>
    <t xml:space="preserve">       教育未移交人员</t>
  </si>
  <si>
    <t xml:space="preserve">       场级退休人员</t>
  </si>
  <si>
    <t xml:space="preserve">       扶贫工作</t>
  </si>
  <si>
    <t xml:space="preserve">       违法整治工作</t>
  </si>
  <si>
    <t xml:space="preserve">       “两节”慰问</t>
  </si>
  <si>
    <t xml:space="preserve">       退塘项目</t>
  </si>
  <si>
    <t>税金预算表</t>
  </si>
  <si>
    <t xml:space="preserve">                    上年数</t>
  </si>
  <si>
    <t>增值税</t>
  </si>
  <si>
    <t xml:space="preserve">    期初应交</t>
  </si>
  <si>
    <t xml:space="preserve">    本期应交</t>
  </si>
  <si>
    <t xml:space="preserve">    本期交纳</t>
  </si>
  <si>
    <t xml:space="preserve">    期末应交</t>
  </si>
  <si>
    <t>消费税</t>
  </si>
  <si>
    <t>资源税</t>
  </si>
  <si>
    <t>城市维护建设税</t>
  </si>
  <si>
    <t>教育费附加</t>
  </si>
  <si>
    <t>房产税</t>
  </si>
  <si>
    <t>耕地占用税</t>
  </si>
  <si>
    <t>土地使用税</t>
  </si>
  <si>
    <t>车船使用税</t>
  </si>
  <si>
    <t>所得税</t>
  </si>
  <si>
    <t>土地增值税</t>
  </si>
  <si>
    <t>其他税费</t>
  </si>
  <si>
    <t>税金支付合计</t>
  </si>
  <si>
    <t>应交税费增减额</t>
  </si>
  <si>
    <t xml:space="preserve">    其中：未进损益的应交税费</t>
  </si>
  <si>
    <t>销售（经营）费用预算</t>
  </si>
  <si>
    <t>销售(经营)费用合计</t>
  </si>
  <si>
    <t xml:space="preserve">    工资性费用</t>
  </si>
  <si>
    <t xml:space="preserve">      工资</t>
  </si>
  <si>
    <t xml:space="preserve">        岗位基本工资</t>
  </si>
  <si>
    <t xml:space="preserve">        岗位绩效工资</t>
  </si>
  <si>
    <r>
      <t xml:space="preserve"> </t>
    </r>
    <r>
      <rPr>
        <sz val="8.85"/>
        <rFont val="宋体"/>
        <family val="0"/>
      </rPr>
      <t xml:space="preserve">         基础绩效</t>
    </r>
  </si>
  <si>
    <r>
      <t xml:space="preserve"> </t>
    </r>
    <r>
      <rPr>
        <sz val="8.85"/>
        <rFont val="宋体"/>
        <family val="0"/>
      </rPr>
      <t xml:space="preserve">         季度绩效</t>
    </r>
  </si>
  <si>
    <r>
      <t xml:space="preserve"> </t>
    </r>
    <r>
      <rPr>
        <sz val="8.85"/>
        <rFont val="宋体"/>
        <family val="0"/>
      </rPr>
      <t xml:space="preserve">         年度绩效</t>
    </r>
  </si>
  <si>
    <t xml:space="preserve">        岗位津贴/补贴</t>
  </si>
  <si>
    <t xml:space="preserve">        加班值班工资</t>
  </si>
  <si>
    <t xml:space="preserve">      福利费</t>
  </si>
  <si>
    <t xml:space="preserve">      社保费</t>
  </si>
  <si>
    <t xml:space="preserve">      公积金</t>
  </si>
  <si>
    <t xml:space="preserve">      职工教育经费1.5%</t>
  </si>
  <si>
    <t xml:space="preserve">      工会经费2%</t>
  </si>
  <si>
    <t xml:space="preserve">        其他</t>
  </si>
  <si>
    <t xml:space="preserve">    日常性费用</t>
  </si>
  <si>
    <t xml:space="preserve">        办公费</t>
  </si>
  <si>
    <t xml:space="preserve">        差旅费</t>
  </si>
  <si>
    <t xml:space="preserve">        业务招待费</t>
  </si>
  <si>
    <t xml:space="preserve">        通讯费</t>
  </si>
  <si>
    <t xml:space="preserve">        车辆费用</t>
  </si>
  <si>
    <t xml:space="preserve">        房租费及物业管理费</t>
  </si>
  <si>
    <t xml:space="preserve">        水电费</t>
  </si>
  <si>
    <t xml:space="preserve">        劳务费</t>
  </si>
  <si>
    <t xml:space="preserve">        广告费及业务宣传费</t>
  </si>
  <si>
    <t xml:space="preserve">        劳动保险费</t>
  </si>
  <si>
    <t xml:space="preserve">        运输费</t>
  </si>
  <si>
    <t xml:space="preserve">        办公上网费</t>
  </si>
  <si>
    <t xml:space="preserve">        资料费</t>
  </si>
  <si>
    <t xml:space="preserve">        设备租赁费</t>
  </si>
  <si>
    <t xml:space="preserve">        设备维修费</t>
  </si>
  <si>
    <t xml:space="preserve">        培训费</t>
  </si>
  <si>
    <t xml:space="preserve">        会务费</t>
  </si>
  <si>
    <t xml:space="preserve">        招聘解聘费</t>
  </si>
  <si>
    <t xml:space="preserve">        市内交通费</t>
  </si>
  <si>
    <t xml:space="preserve">        诉讼费</t>
  </si>
  <si>
    <t xml:space="preserve">        保险费</t>
  </si>
  <si>
    <t xml:space="preserve">    摊销性费用</t>
  </si>
  <si>
    <t xml:space="preserve">        固定资产折旧</t>
  </si>
  <si>
    <t xml:space="preserve">        无形资产摊销</t>
  </si>
  <si>
    <t xml:space="preserve">        其他摊销费用</t>
  </si>
  <si>
    <t>管理费用预算表</t>
  </si>
  <si>
    <t>管理费用合计</t>
  </si>
  <si>
    <r>
      <t xml:space="preserve"> </t>
    </r>
    <r>
      <rPr>
        <sz val="8.85"/>
        <rFont val="宋体"/>
        <family val="0"/>
      </rPr>
      <t xml:space="preserve">   </t>
    </r>
    <r>
      <rPr>
        <sz val="8.85"/>
        <rFont val="宋体"/>
        <family val="0"/>
      </rPr>
      <t>职工薪酬</t>
    </r>
  </si>
  <si>
    <t xml:space="preserve">      履职待遇</t>
  </si>
  <si>
    <t xml:space="preserve">        公务交通补贴</t>
  </si>
  <si>
    <t xml:space="preserve">        通讯补贴</t>
  </si>
  <si>
    <r>
      <t xml:space="preserve">    </t>
    </r>
    <r>
      <rPr>
        <sz val="8.85"/>
        <rFont val="宋体"/>
        <family val="0"/>
      </rPr>
      <t>日常性费用</t>
    </r>
  </si>
  <si>
    <t xml:space="preserve">      办公费</t>
  </si>
  <si>
    <t xml:space="preserve">      差旅费</t>
  </si>
  <si>
    <t xml:space="preserve">      业务招待费</t>
  </si>
  <si>
    <t xml:space="preserve">      通讯费</t>
  </si>
  <si>
    <t xml:space="preserve">      车辆费用</t>
  </si>
  <si>
    <t xml:space="preserve">        油料费</t>
  </si>
  <si>
    <t xml:space="preserve">        修理费</t>
  </si>
  <si>
    <t xml:space="preserve">        其他费用</t>
  </si>
  <si>
    <r>
      <t xml:space="preserve"> </t>
    </r>
    <r>
      <rPr>
        <sz val="8.85"/>
        <rFont val="宋体"/>
        <family val="0"/>
      </rPr>
      <t xml:space="preserve">     </t>
    </r>
    <r>
      <rPr>
        <sz val="8.85"/>
        <rFont val="宋体"/>
        <family val="0"/>
      </rPr>
      <t>房租费</t>
    </r>
  </si>
  <si>
    <r>
      <t xml:space="preserve">     </t>
    </r>
    <r>
      <rPr>
        <sz val="8.85"/>
        <rFont val="宋体"/>
        <family val="0"/>
      </rPr>
      <t xml:space="preserve"> </t>
    </r>
    <r>
      <rPr>
        <sz val="8.85"/>
        <rFont val="宋体"/>
        <family val="0"/>
      </rPr>
      <t>物业管理费</t>
    </r>
  </si>
  <si>
    <r>
      <t xml:space="preserve">     </t>
    </r>
    <r>
      <rPr>
        <sz val="8.85"/>
        <rFont val="宋体"/>
        <family val="0"/>
      </rPr>
      <t xml:space="preserve"> </t>
    </r>
    <r>
      <rPr>
        <sz val="8.85"/>
        <rFont val="宋体"/>
        <family val="0"/>
      </rPr>
      <t>水电费</t>
    </r>
  </si>
  <si>
    <r>
      <t xml:space="preserve">     </t>
    </r>
    <r>
      <rPr>
        <sz val="8.85"/>
        <rFont val="宋体"/>
        <family val="0"/>
      </rPr>
      <t xml:space="preserve"> </t>
    </r>
    <r>
      <rPr>
        <sz val="8.85"/>
        <rFont val="宋体"/>
        <family val="0"/>
      </rPr>
      <t>劳务费</t>
    </r>
  </si>
  <si>
    <r>
      <t xml:space="preserve">     </t>
    </r>
    <r>
      <rPr>
        <sz val="8.85"/>
        <rFont val="宋体"/>
        <family val="0"/>
      </rPr>
      <t xml:space="preserve"> </t>
    </r>
    <r>
      <rPr>
        <sz val="8.85"/>
        <rFont val="宋体"/>
        <family val="0"/>
      </rPr>
      <t>劳动保险费</t>
    </r>
  </si>
  <si>
    <r>
      <t xml:space="preserve">    </t>
    </r>
    <r>
      <rPr>
        <sz val="8.85"/>
        <rFont val="宋体"/>
        <family val="0"/>
      </rPr>
      <t xml:space="preserve"> </t>
    </r>
    <r>
      <rPr>
        <sz val="8.85"/>
        <rFont val="宋体"/>
        <family val="0"/>
      </rPr>
      <t xml:space="preserve"> 运输费</t>
    </r>
  </si>
  <si>
    <r>
      <t xml:space="preserve">      </t>
    </r>
    <r>
      <rPr>
        <sz val="8.85"/>
        <rFont val="宋体"/>
        <family val="0"/>
      </rPr>
      <t>办公上网费（邮电）</t>
    </r>
  </si>
  <si>
    <r>
      <t xml:space="preserve">     </t>
    </r>
    <r>
      <rPr>
        <sz val="8.85"/>
        <rFont val="宋体"/>
        <family val="0"/>
      </rPr>
      <t xml:space="preserve"> </t>
    </r>
    <r>
      <rPr>
        <sz val="8.85"/>
        <rFont val="宋体"/>
        <family val="0"/>
      </rPr>
      <t>资料费</t>
    </r>
  </si>
  <si>
    <r>
      <t xml:space="preserve">     </t>
    </r>
    <r>
      <rPr>
        <sz val="8.85"/>
        <rFont val="宋体"/>
        <family val="0"/>
      </rPr>
      <t xml:space="preserve"> </t>
    </r>
    <r>
      <rPr>
        <sz val="8.85"/>
        <rFont val="宋体"/>
        <family val="0"/>
      </rPr>
      <t>设备租赁费</t>
    </r>
  </si>
  <si>
    <r>
      <t xml:space="preserve">     </t>
    </r>
    <r>
      <rPr>
        <sz val="8.85"/>
        <rFont val="宋体"/>
        <family val="0"/>
      </rPr>
      <t xml:space="preserve"> </t>
    </r>
    <r>
      <rPr>
        <sz val="8.85"/>
        <rFont val="宋体"/>
        <family val="0"/>
      </rPr>
      <t>设备维修费</t>
    </r>
  </si>
  <si>
    <r>
      <t xml:space="preserve">     </t>
    </r>
    <r>
      <rPr>
        <sz val="8.85"/>
        <rFont val="宋体"/>
        <family val="0"/>
      </rPr>
      <t xml:space="preserve"> </t>
    </r>
    <r>
      <rPr>
        <sz val="8.85"/>
        <rFont val="宋体"/>
        <family val="0"/>
      </rPr>
      <t>培训费</t>
    </r>
  </si>
  <si>
    <r>
      <t xml:space="preserve">     </t>
    </r>
    <r>
      <rPr>
        <sz val="8.85"/>
        <rFont val="宋体"/>
        <family val="0"/>
      </rPr>
      <t xml:space="preserve"> </t>
    </r>
    <r>
      <rPr>
        <sz val="8.85"/>
        <rFont val="宋体"/>
        <family val="0"/>
      </rPr>
      <t>会务费</t>
    </r>
  </si>
  <si>
    <r>
      <t xml:space="preserve">     </t>
    </r>
    <r>
      <rPr>
        <sz val="8.85"/>
        <rFont val="宋体"/>
        <family val="0"/>
      </rPr>
      <t xml:space="preserve"> </t>
    </r>
    <r>
      <rPr>
        <sz val="8.85"/>
        <rFont val="宋体"/>
        <family val="0"/>
      </rPr>
      <t>招聘解聘费</t>
    </r>
  </si>
  <si>
    <t xml:space="preserve">      公司经费</t>
  </si>
  <si>
    <t xml:space="preserve">        资产评估费</t>
  </si>
  <si>
    <r>
      <t xml:space="preserve">           </t>
    </r>
    <r>
      <rPr>
        <sz val="10"/>
        <rFont val="宋体"/>
        <family val="0"/>
      </rPr>
      <t>年检（审）费</t>
    </r>
  </si>
  <si>
    <r>
      <t xml:space="preserve">           </t>
    </r>
    <r>
      <rPr>
        <sz val="10"/>
        <rFont val="宋体"/>
        <family val="0"/>
      </rPr>
      <t>代理服务费</t>
    </r>
  </si>
  <si>
    <r>
      <t xml:space="preserve">           </t>
    </r>
    <r>
      <rPr>
        <sz val="10"/>
        <rFont val="宋体"/>
        <family val="0"/>
      </rPr>
      <t>咨询费</t>
    </r>
  </si>
  <si>
    <r>
      <t xml:space="preserve">           </t>
    </r>
    <r>
      <rPr>
        <sz val="10"/>
        <rFont val="宋体"/>
        <family val="0"/>
      </rPr>
      <t>认证费</t>
    </r>
  </si>
  <si>
    <r>
      <t xml:space="preserve">        </t>
    </r>
    <r>
      <rPr>
        <sz val="10"/>
        <rFont val="宋体"/>
        <family val="0"/>
      </rPr>
      <t>董事会费</t>
    </r>
  </si>
  <si>
    <r>
      <t xml:space="preserve">        </t>
    </r>
    <r>
      <rPr>
        <sz val="10"/>
        <rFont val="宋体"/>
        <family val="0"/>
      </rPr>
      <t>企业文化建设</t>
    </r>
  </si>
  <si>
    <r>
      <t xml:space="preserve">           </t>
    </r>
    <r>
      <rPr>
        <sz val="10"/>
        <rFont val="宋体"/>
        <family val="0"/>
      </rPr>
      <t>企业宣传</t>
    </r>
  </si>
  <si>
    <r>
      <t xml:space="preserve">           </t>
    </r>
    <r>
      <rPr>
        <sz val="10"/>
        <rFont val="宋体"/>
        <family val="0"/>
      </rPr>
      <t>企业党建</t>
    </r>
  </si>
  <si>
    <r>
      <t xml:space="preserve">           </t>
    </r>
    <r>
      <rPr>
        <sz val="10"/>
        <rFont val="宋体"/>
        <family val="0"/>
      </rPr>
      <t>安全生产</t>
    </r>
  </si>
  <si>
    <r>
      <t xml:space="preserve">           </t>
    </r>
    <r>
      <rPr>
        <sz val="10"/>
        <rFont val="宋体"/>
        <family val="0"/>
      </rPr>
      <t>困难慰问</t>
    </r>
  </si>
  <si>
    <r>
      <t xml:space="preserve">           </t>
    </r>
    <r>
      <rPr>
        <sz val="10"/>
        <rFont val="宋体"/>
        <family val="0"/>
      </rPr>
      <t>文化建设</t>
    </r>
  </si>
  <si>
    <r>
      <t xml:space="preserve">           </t>
    </r>
    <r>
      <rPr>
        <sz val="10"/>
        <rFont val="宋体"/>
        <family val="0"/>
      </rPr>
      <t>其他</t>
    </r>
  </si>
  <si>
    <r>
      <t xml:space="preserve">       </t>
    </r>
    <r>
      <rPr>
        <sz val="10"/>
        <rFont val="宋体"/>
        <family val="0"/>
      </rPr>
      <t>诉讼费</t>
    </r>
  </si>
  <si>
    <r>
      <t xml:space="preserve">       </t>
    </r>
    <r>
      <rPr>
        <sz val="10"/>
        <rFont val="宋体"/>
        <family val="0"/>
      </rPr>
      <t>排污费</t>
    </r>
  </si>
  <si>
    <r>
      <t xml:space="preserve">       </t>
    </r>
    <r>
      <rPr>
        <sz val="10"/>
        <rFont val="宋体"/>
        <family val="0"/>
      </rPr>
      <t>绿化费</t>
    </r>
  </si>
  <si>
    <r>
      <t xml:space="preserve">       </t>
    </r>
    <r>
      <rPr>
        <sz val="10"/>
        <rFont val="宋体"/>
        <family val="0"/>
      </rPr>
      <t>保洁费</t>
    </r>
  </si>
  <si>
    <r>
      <t xml:space="preserve">       </t>
    </r>
    <r>
      <rPr>
        <sz val="10"/>
        <rFont val="宋体"/>
        <family val="0"/>
      </rPr>
      <t>安保费</t>
    </r>
  </si>
  <si>
    <r>
      <t xml:space="preserve">       </t>
    </r>
    <r>
      <rPr>
        <sz val="10"/>
        <rFont val="宋体"/>
        <family val="0"/>
      </rPr>
      <t>误餐费</t>
    </r>
  </si>
  <si>
    <r>
      <t xml:space="preserve">       </t>
    </r>
    <r>
      <rPr>
        <sz val="10"/>
        <rFont val="宋体"/>
        <family val="0"/>
      </rPr>
      <t>其他</t>
    </r>
  </si>
  <si>
    <r>
      <t xml:space="preserve">    </t>
    </r>
    <r>
      <rPr>
        <sz val="10"/>
        <rFont val="宋体"/>
        <family val="0"/>
      </rPr>
      <t>研发费用转入</t>
    </r>
  </si>
  <si>
    <r>
      <t xml:space="preserve">    </t>
    </r>
    <r>
      <rPr>
        <sz val="10"/>
        <rFont val="宋体"/>
        <family val="0"/>
      </rPr>
      <t>摊销性费用</t>
    </r>
  </si>
  <si>
    <t xml:space="preserve">        低值易耗品摊销</t>
  </si>
  <si>
    <t>.</t>
  </si>
  <si>
    <t xml:space="preserve">        长期待摊费用摊销</t>
  </si>
  <si>
    <t xml:space="preserve">        存货盘亏和毁损</t>
  </si>
  <si>
    <t>财务费用预算表</t>
  </si>
  <si>
    <t>财务费用合计</t>
  </si>
  <si>
    <t xml:space="preserve">    利息收入（按负数列示）</t>
  </si>
  <si>
    <t xml:space="preserve">    利息支出</t>
  </si>
  <si>
    <t xml:space="preserve">    手续费</t>
  </si>
  <si>
    <r>
      <t xml:space="preserve"> </t>
    </r>
    <r>
      <rPr>
        <sz val="8.85"/>
        <rFont val="宋体"/>
        <family val="0"/>
      </rPr>
      <t xml:space="preserve">   账户管理费</t>
    </r>
  </si>
  <si>
    <t xml:space="preserve">    汇兑损益</t>
  </si>
  <si>
    <t>资产负债预算表（一）</t>
  </si>
  <si>
    <t>年度</t>
  </si>
  <si>
    <t>资产</t>
  </si>
  <si>
    <t>行次</t>
  </si>
  <si>
    <t>年初数</t>
  </si>
  <si>
    <t>期末数（1-9月份）</t>
  </si>
  <si>
    <t>期末数</t>
  </si>
  <si>
    <t>流动资产：</t>
  </si>
  <si>
    <t xml:space="preserve">    货币资金</t>
  </si>
  <si>
    <t xml:space="preserve">    交易性金融资产</t>
  </si>
  <si>
    <t xml:space="preserve">    应收票据</t>
  </si>
  <si>
    <t xml:space="preserve">    应收账款</t>
  </si>
  <si>
    <t xml:space="preserve">    预付账款</t>
  </si>
  <si>
    <t xml:space="preserve">    应收股利</t>
  </si>
  <si>
    <t xml:space="preserve">    应收利息</t>
  </si>
  <si>
    <t xml:space="preserve">    其他应收款</t>
  </si>
  <si>
    <t xml:space="preserve">    存货</t>
  </si>
  <si>
    <t xml:space="preserve">    一年内到期的非流动资产</t>
  </si>
  <si>
    <t xml:space="preserve">    其他流动资产</t>
  </si>
  <si>
    <t xml:space="preserve">    流动资产合计</t>
  </si>
  <si>
    <t>非流动资产：</t>
  </si>
  <si>
    <t xml:space="preserve">    可供出售金融资产</t>
  </si>
  <si>
    <t xml:space="preserve">    持有至到期投资</t>
  </si>
  <si>
    <t xml:space="preserve">    长期应收款</t>
  </si>
  <si>
    <t xml:space="preserve">    长期股权投资</t>
  </si>
  <si>
    <t>16</t>
  </si>
  <si>
    <t xml:space="preserve">    投资性房地产</t>
  </si>
  <si>
    <t>17</t>
  </si>
  <si>
    <t xml:space="preserve">    固定资产原值</t>
  </si>
  <si>
    <t>18</t>
  </si>
  <si>
    <t xml:space="preserve">        减：累计折旧</t>
  </si>
  <si>
    <t>19</t>
  </si>
  <si>
    <t xml:space="preserve">    固定资产净值</t>
  </si>
  <si>
    <t>20</t>
  </si>
  <si>
    <t xml:space="preserve">        减：固定资产减值准备</t>
  </si>
  <si>
    <t>21</t>
  </si>
  <si>
    <t xml:space="preserve">    固定资产净额</t>
  </si>
  <si>
    <t>22</t>
  </si>
  <si>
    <t xml:space="preserve">    在建工程</t>
  </si>
  <si>
    <t>23</t>
  </si>
  <si>
    <t xml:space="preserve">    工程物资</t>
  </si>
  <si>
    <t>24</t>
  </si>
  <si>
    <t xml:space="preserve">    固定资产清理</t>
  </si>
  <si>
    <t>25</t>
  </si>
  <si>
    <t xml:space="preserve">    生物资产原值</t>
  </si>
  <si>
    <t>26</t>
  </si>
  <si>
    <t xml:space="preserve">        减：生物资产累计折旧</t>
  </si>
  <si>
    <t>27</t>
  </si>
  <si>
    <t xml:space="preserve">    生物资产净值</t>
  </si>
  <si>
    <t>28</t>
  </si>
  <si>
    <t xml:space="preserve">        减：生物资产减值准备</t>
  </si>
  <si>
    <t>29</t>
  </si>
  <si>
    <t xml:space="preserve">    生物资产净额</t>
  </si>
  <si>
    <t>30</t>
  </si>
  <si>
    <t xml:space="preserve">    无形资产</t>
  </si>
  <si>
    <t>31</t>
  </si>
  <si>
    <t xml:space="preserve">    开发支出</t>
  </si>
  <si>
    <t>32</t>
  </si>
  <si>
    <t xml:space="preserve">    商誉</t>
  </si>
  <si>
    <t>33</t>
  </si>
  <si>
    <t xml:space="preserve">    长期待摊费用</t>
  </si>
  <si>
    <t>34</t>
  </si>
  <si>
    <t xml:space="preserve">    其他非流动资产</t>
  </si>
  <si>
    <t>35</t>
  </si>
  <si>
    <t xml:space="preserve">    非流动资产合计</t>
  </si>
  <si>
    <t>36</t>
  </si>
  <si>
    <t>资产总计：</t>
  </si>
  <si>
    <t>37</t>
  </si>
  <si>
    <t>审核人：</t>
  </si>
  <si>
    <t>资产负债预算表（二）</t>
  </si>
  <si>
    <t>流动负债</t>
  </si>
  <si>
    <t xml:space="preserve">    短期借款</t>
  </si>
  <si>
    <t>38</t>
  </si>
  <si>
    <t xml:space="preserve">    交易性金融负债</t>
  </si>
  <si>
    <t>39</t>
  </si>
  <si>
    <t xml:space="preserve">    应付票据</t>
  </si>
  <si>
    <t>40</t>
  </si>
  <si>
    <t xml:space="preserve">    应付账款</t>
  </si>
  <si>
    <t>41</t>
  </si>
  <si>
    <t xml:space="preserve">    预收账款</t>
  </si>
  <si>
    <t>42</t>
  </si>
  <si>
    <t xml:space="preserve">    应付职工薪酬</t>
  </si>
  <si>
    <t>43</t>
  </si>
  <si>
    <t xml:space="preserve">        其中：应付工资</t>
  </si>
  <si>
    <t>44</t>
  </si>
  <si>
    <t xml:space="preserve">              应付福利费</t>
  </si>
  <si>
    <t>45</t>
  </si>
  <si>
    <t xml:space="preserve">    应交税费</t>
  </si>
  <si>
    <t>46</t>
  </si>
  <si>
    <t xml:space="preserve">    应付利息</t>
  </si>
  <si>
    <t>47</t>
  </si>
  <si>
    <t xml:space="preserve">    应付股利（应付利润）</t>
  </si>
  <si>
    <t>48</t>
  </si>
  <si>
    <t xml:space="preserve">    其他应付款</t>
  </si>
  <si>
    <t>49</t>
  </si>
  <si>
    <t xml:space="preserve">    一年内到期的非流动负债</t>
  </si>
  <si>
    <t>50</t>
  </si>
  <si>
    <t xml:space="preserve">    其他流动负债</t>
  </si>
  <si>
    <t>51</t>
  </si>
  <si>
    <t xml:space="preserve">    流动负债合计</t>
  </si>
  <si>
    <t>52</t>
  </si>
  <si>
    <t>非流动负债</t>
  </si>
  <si>
    <t xml:space="preserve">    长期借款</t>
  </si>
  <si>
    <t>53</t>
  </si>
  <si>
    <t xml:space="preserve">    应付债券</t>
  </si>
  <si>
    <t>54</t>
  </si>
  <si>
    <t xml:space="preserve">    长期应付款</t>
  </si>
  <si>
    <t>55</t>
  </si>
  <si>
    <t xml:space="preserve">    专项应付款</t>
  </si>
  <si>
    <t>56</t>
  </si>
  <si>
    <t xml:space="preserve">    预计负债</t>
  </si>
  <si>
    <t>57</t>
  </si>
  <si>
    <t xml:space="preserve">    递延收益</t>
  </si>
  <si>
    <t xml:space="preserve">    递延所得税负债</t>
  </si>
  <si>
    <t xml:space="preserve">    其他非流动负债</t>
  </si>
  <si>
    <t xml:space="preserve">    非流动负债合计</t>
  </si>
  <si>
    <t xml:space="preserve">    负债合计</t>
  </si>
  <si>
    <t>所有者权益</t>
  </si>
  <si>
    <t xml:space="preserve">    实收资本（股本）</t>
  </si>
  <si>
    <t xml:space="preserve">    资本公积</t>
  </si>
  <si>
    <t xml:space="preserve">    盈余公积</t>
  </si>
  <si>
    <t xml:space="preserve">    未分配利润</t>
  </si>
  <si>
    <t xml:space="preserve">    归属于母公司所有者权益合计</t>
  </si>
  <si>
    <t xml:space="preserve">    少数股东权益</t>
  </si>
  <si>
    <t xml:space="preserve">    所有者权益合计</t>
  </si>
  <si>
    <t>负债及所有者权益合计</t>
  </si>
  <si>
    <t>利润预算表</t>
  </si>
  <si>
    <t>营业收入</t>
  </si>
  <si>
    <t xml:space="preserve">    主营业务收入</t>
  </si>
  <si>
    <t>营业成本</t>
  </si>
  <si>
    <t xml:space="preserve">    主营业务成本</t>
  </si>
  <si>
    <t>营业税金及附加</t>
  </si>
  <si>
    <t>期间费用</t>
  </si>
  <si>
    <t xml:space="preserve">    销售费用</t>
  </si>
  <si>
    <t xml:space="preserve">    管理费用</t>
  </si>
  <si>
    <t xml:space="preserve">    财务费用</t>
  </si>
  <si>
    <t>经营净收入</t>
  </si>
  <si>
    <t xml:space="preserve">    减：资产减值损失</t>
  </si>
  <si>
    <t xml:space="preserve">    加：公允价值变动收益(损失以“-”填列）</t>
  </si>
  <si>
    <t xml:space="preserve">        投资收益（损失以“-”填列）</t>
  </si>
  <si>
    <t>营业利润</t>
  </si>
  <si>
    <t xml:space="preserve">    加：营业外收入</t>
  </si>
  <si>
    <t xml:space="preserve">    减：营业外支出</t>
  </si>
  <si>
    <t>利润总额</t>
  </si>
  <si>
    <t xml:space="preserve">    减：所得税费用</t>
  </si>
  <si>
    <t>净利润</t>
  </si>
  <si>
    <t xml:space="preserve">    减：弥补上年亏损</t>
  </si>
  <si>
    <t xml:space="preserve">        提取法定公积金</t>
  </si>
  <si>
    <t xml:space="preserve">        提取任意公积金</t>
  </si>
  <si>
    <t xml:space="preserve">        分配现金股利（利润）</t>
  </si>
  <si>
    <t>未分配利润</t>
  </si>
  <si>
    <t>利润分配预算表</t>
  </si>
  <si>
    <t>预计分配月份（格式****-**）</t>
  </si>
  <si>
    <t>一、净利润</t>
  </si>
  <si>
    <t xml:space="preserve">    加：年初未分配利润</t>
  </si>
  <si>
    <t xml:space="preserve">        盈余公积补亏</t>
  </si>
  <si>
    <t xml:space="preserve">        其他因素调整</t>
  </si>
  <si>
    <t>二、可供分配的利润</t>
  </si>
  <si>
    <t xml:space="preserve">    减：提取法定盈余公积</t>
  </si>
  <si>
    <t xml:space="preserve">        提取法定公益金</t>
  </si>
  <si>
    <t xml:space="preserve">        其他项目</t>
  </si>
  <si>
    <t>三、可供投资者分配的利润</t>
  </si>
  <si>
    <t xml:space="preserve">    减：应付优先股股利</t>
  </si>
  <si>
    <t xml:space="preserve">        提取任意盈余公积</t>
  </si>
  <si>
    <t xml:space="preserve">        应付普通股股利或应付利润</t>
  </si>
  <si>
    <t xml:space="preserve">        转作资本的普通股股利</t>
  </si>
  <si>
    <t>四、未分配利润</t>
  </si>
  <si>
    <t>五、母公司占全部股份比例</t>
  </si>
  <si>
    <t>资金预算表总表</t>
  </si>
  <si>
    <t>资金期初余额</t>
  </si>
  <si>
    <t xml:space="preserve">    现金</t>
  </si>
  <si>
    <t xml:space="preserve">    银行存款-基本户</t>
  </si>
  <si>
    <t xml:space="preserve">    银行存款-一般户</t>
  </si>
  <si>
    <t xml:space="preserve">    银行存款-财政户</t>
  </si>
  <si>
    <t xml:space="preserve">    银行存款-专户</t>
  </si>
  <si>
    <t xml:space="preserve">    银行存款-共管户</t>
  </si>
  <si>
    <t xml:space="preserve">    其他货币资金</t>
  </si>
  <si>
    <t xml:space="preserve">    经营活动产生的现金净流量</t>
  </si>
  <si>
    <t xml:space="preserve">        经营活动产生的现金流量现金流入小计</t>
  </si>
  <si>
    <t xml:space="preserve">            销售商品、提供劳务收到的现金</t>
  </si>
  <si>
    <t xml:space="preserve">            收到的税费返还</t>
  </si>
  <si>
    <t xml:space="preserve">            收到的其他与经营活动有关的现金</t>
  </si>
  <si>
    <t xml:space="preserve">        经营活动产生的现金流量现金流出小计</t>
  </si>
  <si>
    <t xml:space="preserve">            购买商品、接受劳务支付的现金</t>
  </si>
  <si>
    <t xml:space="preserve">            支付给职工以及为职工支付的现金</t>
  </si>
  <si>
    <t xml:space="preserve">            支付的各项税费</t>
  </si>
  <si>
    <t xml:space="preserve">            支付的其他与经营活动有关的现金</t>
  </si>
  <si>
    <t xml:space="preserve">    投资活动产生的现金净流量</t>
  </si>
  <si>
    <t xml:space="preserve">        投资活动产生的现金流量现金流入小计</t>
  </si>
  <si>
    <t xml:space="preserve">            收回投资所收到的现金</t>
  </si>
  <si>
    <t xml:space="preserve">            取得投资收益所收到的现金</t>
  </si>
  <si>
    <t xml:space="preserve">            处置固定资产、无形资产和其他长期资产所收回的现金净额</t>
  </si>
  <si>
    <t xml:space="preserve">            处置子公司及其他营业单位收到的现金净额</t>
  </si>
  <si>
    <t xml:space="preserve">            收到的其他与投资活动有关的现金</t>
  </si>
  <si>
    <t xml:space="preserve">        投资活动产生的现金流量现金流出小计</t>
  </si>
  <si>
    <t xml:space="preserve">            购建固定资产、无形资产和其他长期资产所支付的现金</t>
  </si>
  <si>
    <t xml:space="preserve">            投资所支付的现金</t>
  </si>
  <si>
    <t xml:space="preserve">            取得子公司及其他营业单位支付的现金净额</t>
  </si>
  <si>
    <t xml:space="preserve">            支付的其他与投资活动有关的现金</t>
  </si>
  <si>
    <t xml:space="preserve">    筹资活动产生的现金净流量</t>
  </si>
  <si>
    <t xml:space="preserve">        筹资活动产生的现金流量现金流入小计</t>
  </si>
  <si>
    <t xml:space="preserve">            吸收投资所收到的现金</t>
  </si>
  <si>
    <t xml:space="preserve">            借款所收到的现金</t>
  </si>
  <si>
    <t xml:space="preserve">            收到的其他与筹资活动有关的现金</t>
  </si>
  <si>
    <t xml:space="preserve">        筹资活动产生的现金流量现金流出小计</t>
  </si>
  <si>
    <t xml:space="preserve">            偿还债务所支付的现金</t>
  </si>
  <si>
    <t xml:space="preserve">            分配股利、利润和偿付利息所支付的现金</t>
  </si>
  <si>
    <t xml:space="preserve">            支付的其他与筹资活动有关的现金</t>
  </si>
  <si>
    <t xml:space="preserve">    汇率变动对现金的影响</t>
  </si>
  <si>
    <t>现金及现金等价物净增加额</t>
  </si>
  <si>
    <t>期末货币资金</t>
  </si>
  <si>
    <t>经营活动现金流量预算表</t>
  </si>
  <si>
    <t>经营活动产生的现金流量</t>
  </si>
  <si>
    <t xml:space="preserve">    经营活动产生的现金流量现金流入小计</t>
  </si>
  <si>
    <t xml:space="preserve">        销售商品、提供劳务收到的现金</t>
  </si>
  <si>
    <t xml:space="preserve">        收到的税费返还</t>
  </si>
  <si>
    <t xml:space="preserve">        收到的其他与经营活动有关的现金</t>
  </si>
  <si>
    <t xml:space="preserve">        其他流入</t>
  </si>
  <si>
    <t xml:space="preserve">        总公司拨入</t>
  </si>
  <si>
    <t xml:space="preserve">        上级财政拨入</t>
  </si>
  <si>
    <t xml:space="preserve">        下级公司划入</t>
  </si>
  <si>
    <t xml:space="preserve">        同级公司划入</t>
  </si>
  <si>
    <t xml:space="preserve">    经营活动产生的现金流量现金流出小计</t>
  </si>
  <si>
    <t xml:space="preserve">        购买商品、接受劳务支付的现金</t>
  </si>
  <si>
    <t xml:space="preserve">        支付给职工以及为职工支付的现金</t>
  </si>
  <si>
    <t xml:space="preserve">            工资</t>
  </si>
  <si>
    <t xml:space="preserve">            奖金</t>
  </si>
  <si>
    <t xml:space="preserve">            福利费用</t>
  </si>
  <si>
    <t xml:space="preserve">            社保费用</t>
  </si>
  <si>
    <t xml:space="preserve">            住房公积金</t>
  </si>
  <si>
    <t xml:space="preserve">            工会经费、教育经费及其他</t>
  </si>
  <si>
    <t xml:space="preserve">        支付的各项税费</t>
  </si>
  <si>
    <t xml:space="preserve">            税金及附加</t>
  </si>
  <si>
    <t xml:space="preserve">            企业所得税</t>
  </si>
  <si>
    <t xml:space="preserve">            个人所得税</t>
  </si>
  <si>
    <t xml:space="preserve">            增值税</t>
  </si>
  <si>
    <t xml:space="preserve">            其他税费</t>
  </si>
  <si>
    <t xml:space="preserve">        支付的其他与经营活动有关的现金</t>
  </si>
  <si>
    <t xml:space="preserve">           市政市容管养</t>
  </si>
  <si>
    <t xml:space="preserve">           教育未移交人员</t>
  </si>
  <si>
    <t xml:space="preserve">           场级退休人员</t>
  </si>
  <si>
    <t xml:space="preserve">           扶贫工作</t>
  </si>
  <si>
    <t xml:space="preserve">           违法整治工作</t>
  </si>
  <si>
    <t xml:space="preserve">          “两节”慰问</t>
  </si>
  <si>
    <r>
      <t xml:space="preserve">               </t>
    </r>
    <r>
      <rPr>
        <sz val="10"/>
        <rFont val="宋体"/>
        <family val="0"/>
      </rPr>
      <t>退塘项目</t>
    </r>
  </si>
  <si>
    <r>
      <t xml:space="preserve">               </t>
    </r>
    <r>
      <rPr>
        <sz val="10"/>
        <rFont val="宋体"/>
        <family val="0"/>
      </rPr>
      <t>诉讼费</t>
    </r>
  </si>
  <si>
    <t xml:space="preserve">            劳务费</t>
  </si>
  <si>
    <t xml:space="preserve">            广告费</t>
  </si>
  <si>
    <t xml:space="preserve">            业务宣传费</t>
  </si>
  <si>
    <t xml:space="preserve">            市内交通费</t>
  </si>
  <si>
    <t xml:space="preserve">          公司经费</t>
  </si>
  <si>
    <t xml:space="preserve">          其他费用</t>
  </si>
  <si>
    <t xml:space="preserve">          其他流出</t>
  </si>
  <si>
    <t xml:space="preserve">            拨入总公司</t>
  </si>
  <si>
    <t xml:space="preserve">            划入上级公司</t>
  </si>
  <si>
    <t xml:space="preserve">            划入下级公司</t>
  </si>
  <si>
    <t xml:space="preserve">            划入同级公司</t>
  </si>
  <si>
    <t>投资活动现金流量预算表</t>
  </si>
  <si>
    <t>投资活动产生的现金流量</t>
  </si>
  <si>
    <t xml:space="preserve">    投资活动产生的现金流量现金流入小计</t>
  </si>
  <si>
    <t xml:space="preserve">        收回投资所收到的现金</t>
  </si>
  <si>
    <t xml:space="preserve">        取得投资收益所收到的现金</t>
  </si>
  <si>
    <t xml:space="preserve">        处置固定资产、无形资产和其他长期资产所收回的现金净额</t>
  </si>
  <si>
    <t xml:space="preserve">        处置子公司及其他营业单位收到的现金净额</t>
  </si>
  <si>
    <t xml:space="preserve">        收到的其他与投资活动有关的现金</t>
  </si>
  <si>
    <t xml:space="preserve">    投资活动产生的现金流量现金流出小计</t>
  </si>
  <si>
    <t xml:space="preserve">        购建固定资产、无形资产和其他长期资产所支付的现金</t>
  </si>
  <si>
    <t xml:space="preserve">            房屋、建筑物</t>
  </si>
  <si>
    <t xml:space="preserve">            交通运输设备</t>
  </si>
  <si>
    <t xml:space="preserve">            电器设备</t>
  </si>
  <si>
    <t xml:space="preserve">            机械设备</t>
  </si>
  <si>
    <t xml:space="preserve">            办公家具</t>
  </si>
  <si>
    <t xml:space="preserve">            融资租赁设备</t>
  </si>
  <si>
    <t xml:space="preserve">            无形资产</t>
  </si>
  <si>
    <t xml:space="preserve">            生物性资产</t>
  </si>
  <si>
    <t xml:space="preserve">            其他设备</t>
  </si>
  <si>
    <t xml:space="preserve">        投资所支付的现金</t>
  </si>
  <si>
    <t xml:space="preserve">        取得子公司及其他营业单位支付的现金净额</t>
  </si>
  <si>
    <t xml:space="preserve">        支付的其他与投资活动有关的现金</t>
  </si>
  <si>
    <t>筹资活动现金流量预算表</t>
  </si>
  <si>
    <t>筹资活动产生的现金流量</t>
  </si>
  <si>
    <t xml:space="preserve">    筹资活动产生的现金流量现金流入小计</t>
  </si>
  <si>
    <t xml:space="preserve">        吸收投资所收到的现金</t>
  </si>
  <si>
    <t xml:space="preserve">        借款所收到的现金</t>
  </si>
  <si>
    <t xml:space="preserve">        收到的其他与筹资活动有关的现金</t>
  </si>
  <si>
    <t xml:space="preserve">    筹资活动产生的现金流量现金流出小计</t>
  </si>
  <si>
    <t xml:space="preserve">        偿还债务所支付的现金</t>
  </si>
  <si>
    <t xml:space="preserve">        分配股利、利润和偿付利息所支付的现金</t>
  </si>
  <si>
    <t xml:space="preserve">        支付的其他与筹资活动有关的现金</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</si>
</sst>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numFmt numFmtId="181" formatCode="0.000000"/>
    <numFmt numFmtId="182" formatCode="0.0000000"/>
    <numFmt numFmtId="183" formatCode="0.00000000"/>
    <numFmt numFmtId="184" formatCode="#,##0.00_ "/>
    <numFmt numFmtId="185" formatCode="#,##0.000000000_ "/>
    <numFmt numFmtId="186" formatCode="_-* #,##0.00_-;\-* #,##0.00_-;_-* &quot;-&quot;??_-;_-@_-"/>
    <numFmt numFmtId="187" formatCode="#,##0.0_ "/>
    <numFmt numFmtId="188" formatCode="#,##0.00_);[Red]\(#,##0.00\)"/>
    <numFmt numFmtId="189" formatCode="0.00_ "/>
    <numFmt numFmtId="190" formatCode="0_);[Red]\(0\)"/>
    <numFmt numFmtId="191" formatCode="0.00_);[Red]\(0.00\)"/>
    <numFmt numFmtId="192" formatCode="0;_샿"/>
    <numFmt numFmtId="193" formatCode="#,##0_ "/>
    <numFmt numFmtId="194" formatCode="0_ "/>
  </numFmts>
  <fonts count="88">
    <font>
      <sz val="10"/>
      <name val="Arial"/>
      <family val="2"/>
    </font>
    <font>
      <sz val="11"/>
      <name val="宋体"/>
      <family val="0"/>
    </font>
    <font>
      <sz val="12.65"/>
      <name val="宋体"/>
      <family val="0"/>
    </font>
    <font>
      <sz val="8.85"/>
      <name val="宋体"/>
      <family val="0"/>
    </font>
    <font>
      <sz val="11.35"/>
      <name val="宋体"/>
      <family val="0"/>
    </font>
    <font>
      <sz val="9"/>
      <name val="宋体"/>
      <family val="0"/>
    </font>
    <font>
      <sz val="10"/>
      <name val="宋体"/>
      <family val="0"/>
    </font>
    <font>
      <sz val="10"/>
      <color indexed="10"/>
      <name val="Arial"/>
      <family val="2"/>
    </font>
    <font>
      <b/>
      <sz val="8.85"/>
      <name val="宋体"/>
      <family val="0"/>
    </font>
    <font>
      <sz val="9"/>
      <name val="Times New Roman"/>
      <family val="1"/>
    </font>
    <font>
      <sz val="8.85"/>
      <color indexed="10"/>
      <name val="宋体"/>
      <family val="0"/>
    </font>
    <font>
      <sz val="8"/>
      <name val="宋体"/>
      <family val="0"/>
    </font>
    <font>
      <sz val="12"/>
      <name val="宋体"/>
      <family val="0"/>
    </font>
    <font>
      <sz val="11"/>
      <color indexed="8"/>
      <name val="宋体"/>
      <family val="0"/>
    </font>
    <font>
      <b/>
      <sz val="10"/>
      <name val="宋体"/>
      <family val="0"/>
    </font>
    <font>
      <b/>
      <sz val="12"/>
      <name val="宋体"/>
      <family val="0"/>
    </font>
    <font>
      <sz val="10"/>
      <color indexed="8"/>
      <name val="宋体"/>
      <family val="0"/>
    </font>
    <font>
      <b/>
      <sz val="8"/>
      <name val="宋体"/>
      <family val="0"/>
    </font>
    <font>
      <b/>
      <sz val="10"/>
      <color indexed="8"/>
      <name val="宋体"/>
      <family val="0"/>
    </font>
    <font>
      <b/>
      <sz val="9"/>
      <name val="宋体"/>
      <family val="0"/>
    </font>
    <font>
      <sz val="12"/>
      <color indexed="10"/>
      <name val="宋体"/>
      <family val="0"/>
    </font>
    <font>
      <b/>
      <sz val="12"/>
      <color indexed="8"/>
      <name val="宋体"/>
      <family val="0"/>
    </font>
    <font>
      <sz val="12"/>
      <color indexed="8"/>
      <name val="宋体"/>
      <family val="0"/>
    </font>
    <font>
      <sz val="11"/>
      <color indexed="17"/>
      <name val="宋体"/>
      <family val="0"/>
    </font>
    <font>
      <b/>
      <sz val="11"/>
      <color indexed="9"/>
      <name val="宋体"/>
      <family val="0"/>
    </font>
    <font>
      <sz val="11"/>
      <color indexed="10"/>
      <name val="宋体"/>
      <family val="0"/>
    </font>
    <font>
      <sz val="8"/>
      <name val="Arial"/>
      <family val="2"/>
    </font>
    <font>
      <sz val="11"/>
      <color indexed="53"/>
      <name val="宋体"/>
      <family val="0"/>
    </font>
    <font>
      <sz val="11"/>
      <color indexed="62"/>
      <name val="宋体"/>
      <family val="0"/>
    </font>
    <font>
      <sz val="11"/>
      <color indexed="19"/>
      <name val="宋体"/>
      <family val="0"/>
    </font>
    <font>
      <sz val="11"/>
      <color indexed="20"/>
      <name val="宋体"/>
      <family val="0"/>
    </font>
    <font>
      <sz val="11"/>
      <color indexed="16"/>
      <name val="宋体"/>
      <family val="0"/>
    </font>
    <font>
      <b/>
      <sz val="11"/>
      <color indexed="62"/>
      <name val="宋体"/>
      <family val="0"/>
    </font>
    <font>
      <b/>
      <sz val="15"/>
      <color indexed="62"/>
      <name val="宋体"/>
      <family val="0"/>
    </font>
    <font>
      <b/>
      <sz val="11"/>
      <color indexed="63"/>
      <name val="宋体"/>
      <family val="0"/>
    </font>
    <font>
      <u val="single"/>
      <sz val="11"/>
      <color indexed="12"/>
      <name val="宋体"/>
      <family val="0"/>
    </font>
    <font>
      <sz val="11"/>
      <color indexed="9"/>
      <name val="宋体"/>
      <family val="0"/>
    </font>
    <font>
      <sz val="20"/>
      <name val="Letter Gothic (W1)"/>
      <family val="2"/>
    </font>
    <font>
      <b/>
      <sz val="10"/>
      <name val="MS Sans Serif"/>
      <family val="2"/>
    </font>
    <font>
      <u val="single"/>
      <sz val="11"/>
      <color indexed="20"/>
      <name val="宋体"/>
      <family val="0"/>
    </font>
    <font>
      <sz val="12"/>
      <name val="Times New Roman"/>
      <family val="1"/>
    </font>
    <font>
      <b/>
      <sz val="13"/>
      <color indexed="62"/>
      <name val="宋体"/>
      <family val="0"/>
    </font>
    <font>
      <i/>
      <sz val="11"/>
      <color indexed="23"/>
      <name val="宋体"/>
      <family val="0"/>
    </font>
    <font>
      <b/>
      <sz val="18"/>
      <color indexed="62"/>
      <name val="宋体"/>
      <family val="0"/>
    </font>
    <font>
      <b/>
      <sz val="11"/>
      <color indexed="8"/>
      <name val="宋体"/>
      <family val="0"/>
    </font>
    <font>
      <b/>
      <sz val="11"/>
      <color indexed="53"/>
      <name val="宋体"/>
      <family val="0"/>
    </font>
    <font>
      <sz val="11"/>
      <color indexed="14"/>
      <name val="宋体"/>
      <family val="0"/>
    </font>
    <font>
      <sz val="10"/>
      <name val="Times New Roman"/>
      <family val="1"/>
    </font>
    <font>
      <sz val="10"/>
      <name val="MS Sans Serif"/>
      <family val="2"/>
    </font>
    <font>
      <b/>
      <i/>
      <sz val="16"/>
      <name val="Helv"/>
      <family val="2"/>
    </font>
    <font>
      <sz val="11"/>
      <name val="ＭＳ Ｐゴシック"/>
      <family val="2"/>
    </font>
    <font>
      <sz val="10"/>
      <color indexed="8"/>
      <name val="Arial"/>
      <family val="2"/>
    </font>
    <font>
      <sz val="11"/>
      <name val="蹈框"/>
      <family val="0"/>
    </font>
    <font>
      <u val="single"/>
      <sz val="12"/>
      <color indexed="12"/>
      <name val="宋体"/>
      <family val="0"/>
    </font>
    <font>
      <sz val="12"/>
      <name val="바탕체"/>
      <family val="0"/>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b/>
      <sz val="11"/>
      <color theme="3"/>
      <name val="Calibri"/>
      <family val="0"/>
    </font>
    <font>
      <b/>
      <sz val="18"/>
      <color theme="3"/>
      <name val="Cambria"/>
      <family val="0"/>
    </font>
    <font>
      <i/>
      <sz val="11"/>
      <color rgb="FF7F7F7F"/>
      <name val="Calibri"/>
      <family val="0"/>
    </font>
    <font>
      <b/>
      <sz val="15"/>
      <color theme="3"/>
      <name val="Calibri"/>
      <family val="0"/>
    </font>
    <font>
      <sz val="11"/>
      <color indexed="8"/>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color rgb="FFFF0000"/>
      <name val="Arial"/>
      <family val="2"/>
    </font>
    <font>
      <sz val="8.85"/>
      <color rgb="FFFF0000"/>
      <name val="宋体"/>
      <family val="0"/>
    </font>
    <font>
      <sz val="8"/>
      <name val="Calibri"/>
      <family val="0"/>
    </font>
    <font>
      <sz val="10"/>
      <color theme="1"/>
      <name val="Calibri"/>
      <family val="0"/>
    </font>
    <font>
      <b/>
      <sz val="8"/>
      <name val="Calibri"/>
      <family val="0"/>
    </font>
    <font>
      <sz val="10"/>
      <name val="Calibri"/>
      <family val="0"/>
    </font>
    <font>
      <sz val="10"/>
      <color theme="1"/>
      <name val="宋体"/>
      <family val="0"/>
    </font>
    <font>
      <b/>
      <sz val="10"/>
      <name val="Calibri"/>
      <family val="0"/>
    </font>
    <font>
      <sz val="12"/>
      <color rgb="FFFF0000"/>
      <name val="宋体"/>
      <family val="0"/>
    </font>
    <font>
      <b/>
      <sz val="12"/>
      <color rgb="FF000000"/>
      <name val="Calibri"/>
      <family val="0"/>
    </font>
    <font>
      <sz val="12"/>
      <color rgb="FF000000"/>
      <name val="Calibri"/>
      <family val="0"/>
    </font>
    <font>
      <b/>
      <sz val="8"/>
      <name val="Arial"/>
      <family val="2"/>
    </font>
  </fonts>
  <fills count="46">
    <fill>
      <patternFill/>
    </fill>
    <fill>
      <patternFill patternType="gray125"/>
    </fill>
    <fill>
      <patternFill patternType="solid">
        <fgColor indexed="9"/>
        <bgColor indexed="64"/>
      </patternFill>
    </fill>
    <fill>
      <patternFill patternType="solid">
        <fgColor rgb="FFFFCC99"/>
        <bgColor indexed="64"/>
      </patternFill>
    </fill>
    <fill>
      <patternFill patternType="solid">
        <fgColor indexed="42"/>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6"/>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5"/>
        <bgColor indexed="64"/>
      </patternFill>
    </fill>
    <fill>
      <patternFill patternType="solid">
        <fgColor rgb="FFCCFFCC"/>
        <bgColor indexed="64"/>
      </patternFill>
    </fill>
    <fill>
      <patternFill patternType="solid">
        <fgColor rgb="FF99CCFF"/>
        <bgColor indexed="64"/>
      </patternFill>
    </fill>
    <fill>
      <patternFill patternType="solid">
        <fgColor indexed="44"/>
        <bgColor indexed="64"/>
      </patternFill>
    </fill>
    <fill>
      <patternFill patternType="solid">
        <fgColor indexed="26"/>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right style="hair"/>
      <top style="hair"/>
      <bottom style="hair"/>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rgb="FF000000"/>
      </left>
      <right/>
      <top style="thin">
        <color indexed="8"/>
      </top>
      <bottom style="thin">
        <color indexed="8"/>
      </bottom>
    </border>
    <border>
      <left/>
      <right/>
      <top/>
      <bottom style="thin">
        <color rgb="FF000000"/>
      </bottom>
    </border>
    <border>
      <left/>
      <right/>
      <top style="thin">
        <color rgb="FF000000"/>
      </top>
      <bottom style="thin">
        <color rgb="FF000000"/>
      </bottom>
    </border>
    <border>
      <left/>
      <right/>
      <top style="thin">
        <color rgb="FF000000"/>
      </top>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border>
    <border>
      <left>
        <color indexed="63"/>
      </left>
      <right style="thin">
        <color indexed="8"/>
      </right>
      <top style="thin">
        <color indexed="8"/>
      </top>
      <bottom/>
    </border>
    <border>
      <left style="thin"/>
      <right>
        <color indexed="63"/>
      </right>
      <top style="thin">
        <color indexed="8"/>
      </top>
      <bottom style="thin">
        <color indexed="8"/>
      </bottom>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thin"/>
      <right>
        <color indexed="63"/>
      </right>
      <top style="thin"/>
      <bottom style="thin"/>
    </border>
  </borders>
  <cellStyleXfs count="1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26" fillId="2" borderId="1" applyBorder="0" applyAlignment="0" applyProtection="0"/>
    <xf numFmtId="176" fontId="0" fillId="0" borderId="0" applyFont="0" applyFill="0" applyBorder="0" applyAlignment="0" applyProtection="0"/>
    <xf numFmtId="0" fontId="55" fillId="3" borderId="2" applyNumberFormat="0" applyAlignment="0" applyProtection="0"/>
    <xf numFmtId="0" fontId="23" fillId="4" borderId="0" applyNumberFormat="0" applyBorder="0" applyAlignment="0" applyProtection="0"/>
    <xf numFmtId="0" fontId="56" fillId="5" borderId="0" applyNumberFormat="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179" fontId="0" fillId="0" borderId="0" applyFont="0" applyFill="0" applyBorder="0" applyAlignment="0" applyProtection="0"/>
    <xf numFmtId="0" fontId="58" fillId="8" borderId="0" applyNumberFormat="0" applyBorder="0" applyAlignment="0" applyProtection="0"/>
    <xf numFmtId="0" fontId="59" fillId="0" borderId="0" applyNumberFormat="0" applyFill="0" applyBorder="0" applyAlignment="0" applyProtection="0"/>
    <xf numFmtId="176" fontId="37" fillId="0" borderId="0" applyFon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30" fillId="9" borderId="0" applyNumberFormat="0" applyBorder="0" applyAlignment="0" applyProtection="0"/>
    <xf numFmtId="0" fontId="0" fillId="10" borderId="3" applyNumberFormat="0" applyFont="0" applyAlignment="0" applyProtection="0"/>
    <xf numFmtId="0" fontId="12" fillId="0" borderId="0">
      <alignment vertical="center"/>
      <protection/>
    </xf>
    <xf numFmtId="0" fontId="58" fillId="11" borderId="0" applyNumberFormat="0" applyBorder="0" applyAlignment="0" applyProtection="0"/>
    <xf numFmtId="0" fontId="23" fillId="4" borderId="0" applyNumberFormat="0" applyBorder="0" applyAlignment="0" applyProtection="0"/>
    <xf numFmtId="0" fontId="61" fillId="0" borderId="0" applyNumberFormat="0" applyFill="0" applyBorder="0" applyAlignment="0" applyProtection="0"/>
    <xf numFmtId="0" fontId="23" fillId="12" borderId="0" applyNumberFormat="0" applyBorder="0" applyAlignment="0" applyProtection="0"/>
    <xf numFmtId="0" fontId="62" fillId="0" borderId="0" applyNumberFormat="0" applyFill="0" applyBorder="0" applyAlignment="0" applyProtection="0"/>
    <xf numFmtId="0" fontId="40" fillId="0" borderId="0">
      <alignment/>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4" applyNumberFormat="0" applyFill="0" applyAlignment="0" applyProtection="0"/>
    <xf numFmtId="9" fontId="66" fillId="0" borderId="0" applyFont="0" applyFill="0" applyBorder="0" applyAlignment="0" applyProtection="0"/>
    <xf numFmtId="0" fontId="67" fillId="0" borderId="5" applyNumberFormat="0" applyFill="0" applyAlignment="0" applyProtection="0"/>
    <xf numFmtId="9" fontId="1" fillId="0" borderId="0" applyFont="0" applyFill="0" applyBorder="0" applyAlignment="0" applyProtection="0"/>
    <xf numFmtId="10" fontId="26" fillId="2" borderId="1" applyBorder="0" applyAlignment="0" applyProtection="0"/>
    <xf numFmtId="0" fontId="58" fillId="13" borderId="0" applyNumberFormat="0" applyBorder="0" applyAlignment="0" applyProtection="0"/>
    <xf numFmtId="0" fontId="23" fillId="4" borderId="0" applyNumberFormat="0" applyBorder="0" applyAlignment="0" applyProtection="0"/>
    <xf numFmtId="0" fontId="62" fillId="0" borderId="6" applyNumberFormat="0" applyFill="0" applyAlignment="0" applyProtection="0"/>
    <xf numFmtId="0" fontId="58" fillId="14" borderId="0" applyNumberFormat="0" applyBorder="0" applyAlignment="0" applyProtection="0"/>
    <xf numFmtId="0" fontId="68" fillId="15" borderId="7" applyNumberFormat="0" applyAlignment="0" applyProtection="0"/>
    <xf numFmtId="0" fontId="69" fillId="15" borderId="2" applyNumberFormat="0" applyAlignment="0" applyProtection="0"/>
    <xf numFmtId="0" fontId="70" fillId="16" borderId="8" applyNumberFormat="0" applyAlignment="0" applyProtection="0"/>
    <xf numFmtId="0" fontId="56" fillId="17" borderId="0" applyNumberFormat="0" applyBorder="0" applyAlignment="0" applyProtection="0"/>
    <xf numFmtId="0" fontId="58" fillId="18" borderId="0" applyNumberFormat="0" applyBorder="0" applyAlignment="0" applyProtection="0"/>
    <xf numFmtId="0" fontId="71" fillId="0" borderId="9" applyNumberFormat="0" applyFill="0" applyAlignment="0" applyProtection="0"/>
    <xf numFmtId="0" fontId="72" fillId="0" borderId="10" applyNumberFormat="0" applyFill="0" applyAlignment="0" applyProtection="0"/>
    <xf numFmtId="0" fontId="73" fillId="19" borderId="0" applyNumberFormat="0" applyBorder="0" applyAlignment="0" applyProtection="0"/>
    <xf numFmtId="180" fontId="5" fillId="0" borderId="11">
      <alignment vertical="center"/>
      <protection/>
    </xf>
    <xf numFmtId="0" fontId="74" fillId="20" borderId="0" applyNumberFormat="0" applyBorder="0" applyAlignment="0" applyProtection="0"/>
    <xf numFmtId="0" fontId="56" fillId="21" borderId="0" applyNumberFormat="0" applyBorder="0" applyAlignment="0" applyProtection="0"/>
    <xf numFmtId="0" fontId="58"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10" fontId="0" fillId="0" borderId="0" applyFont="0" applyFill="0" applyBorder="0" applyAlignment="0" applyProtection="0"/>
    <xf numFmtId="0" fontId="56" fillId="25" borderId="0" applyNumberFormat="0" applyBorder="0" applyAlignment="0" applyProtection="0"/>
    <xf numFmtId="0" fontId="56" fillId="26" borderId="0" applyNumberFormat="0" applyBorder="0" applyAlignment="0" applyProtection="0"/>
    <xf numFmtId="41" fontId="13" fillId="0" borderId="0" applyFont="0" applyFill="0" applyBorder="0" applyAlignment="0" applyProtection="0"/>
    <xf numFmtId="0" fontId="58" fillId="27" borderId="0" applyNumberFormat="0" applyBorder="0" applyAlignment="0" applyProtection="0"/>
    <xf numFmtId="41" fontId="13" fillId="0" borderId="0" applyFont="0" applyFill="0" applyBorder="0" applyAlignment="0" applyProtection="0"/>
    <xf numFmtId="0" fontId="58"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8" fillId="31" borderId="0" applyNumberFormat="0" applyBorder="0" applyAlignment="0" applyProtection="0"/>
    <xf numFmtId="0" fontId="56" fillId="32"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6" fillId="35" borderId="0" applyNumberFormat="0" applyBorder="0" applyAlignment="0" applyProtection="0"/>
    <xf numFmtId="0" fontId="58" fillId="36" borderId="0" applyNumberFormat="0" applyBorder="0" applyAlignment="0" applyProtection="0"/>
    <xf numFmtId="0" fontId="47" fillId="0" borderId="0">
      <alignment/>
      <protection/>
    </xf>
    <xf numFmtId="0" fontId="12" fillId="0" borderId="0">
      <alignment/>
      <protection/>
    </xf>
    <xf numFmtId="180" fontId="5" fillId="0" borderId="11">
      <alignment vertical="center"/>
      <protection/>
    </xf>
    <xf numFmtId="181" fontId="40" fillId="0" borderId="0" applyFont="0" applyFill="0" applyBorder="0" applyAlignment="0" applyProtection="0"/>
    <xf numFmtId="0" fontId="38" fillId="0" borderId="0" applyNumberForma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178" fontId="37" fillId="0" borderId="0" applyFont="0" applyFill="0" applyBorder="0" applyAlignment="0" applyProtection="0"/>
    <xf numFmtId="38" fontId="26" fillId="37" borderId="0" applyBorder="0" applyAlignment="0" applyProtection="0"/>
    <xf numFmtId="0" fontId="49" fillId="0" borderId="0">
      <alignment/>
      <protection/>
    </xf>
    <xf numFmtId="9" fontId="12" fillId="0" borderId="0" applyFont="0" applyFill="0" applyBorder="0" applyAlignment="0" applyProtection="0"/>
    <xf numFmtId="9" fontId="66" fillId="0" borderId="0" applyFont="0" applyFill="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2" fillId="0" borderId="0">
      <alignment vertical="center"/>
      <protection/>
    </xf>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51" fillId="0" borderId="0">
      <alignment/>
      <protection/>
    </xf>
    <xf numFmtId="0" fontId="51" fillId="0" borderId="0">
      <alignment/>
      <protection/>
    </xf>
    <xf numFmtId="0" fontId="13"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56" fillId="0" borderId="0">
      <alignment vertical="center"/>
      <protection/>
    </xf>
    <xf numFmtId="0" fontId="1" fillId="0" borderId="0">
      <alignment vertical="center"/>
      <protection/>
    </xf>
    <xf numFmtId="0" fontId="12" fillId="0" borderId="0">
      <alignment vertical="center"/>
      <protection/>
    </xf>
    <xf numFmtId="0" fontId="12" fillId="0" borderId="0">
      <alignment vertical="center"/>
      <protection/>
    </xf>
    <xf numFmtId="0" fontId="0" fillId="0" borderId="0">
      <alignment/>
      <protection/>
    </xf>
    <xf numFmtId="0" fontId="0" fillId="0" borderId="0">
      <alignment/>
      <protection/>
    </xf>
    <xf numFmtId="0" fontId="52" fillId="0" borderId="0">
      <alignment/>
      <protection/>
    </xf>
    <xf numFmtId="0" fontId="12" fillId="0" borderId="0">
      <alignment vertical="center"/>
      <protection/>
    </xf>
    <xf numFmtId="0" fontId="51"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3" fillId="0" borderId="0">
      <alignment vertical="center"/>
      <protection/>
    </xf>
    <xf numFmtId="0" fontId="12" fillId="0" borderId="0">
      <alignment vertical="center"/>
      <protection/>
    </xf>
    <xf numFmtId="0" fontId="56" fillId="0" borderId="0">
      <alignment vertical="center"/>
      <protection/>
    </xf>
    <xf numFmtId="0" fontId="51" fillId="0" borderId="0">
      <alignment/>
      <protection/>
    </xf>
    <xf numFmtId="0" fontId="0" fillId="0" borderId="0">
      <alignment/>
      <protection/>
    </xf>
    <xf numFmtId="0" fontId="12" fillId="0" borderId="0">
      <alignment/>
      <protection/>
    </xf>
    <xf numFmtId="0" fontId="51" fillId="0" borderId="0">
      <alignment/>
      <protection/>
    </xf>
    <xf numFmtId="0" fontId="23" fillId="12" borderId="0" applyNumberFormat="0" applyBorder="0" applyAlignment="0" applyProtection="0"/>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12" fillId="0" borderId="0">
      <alignment vertical="center"/>
      <protection/>
    </xf>
    <xf numFmtId="0" fontId="53" fillId="0" borderId="0" applyNumberFormat="0" applyFill="0" applyBorder="0" applyAlignment="0" applyProtection="0"/>
    <xf numFmtId="0" fontId="40" fillId="0" borderId="0">
      <alignment/>
      <protection/>
    </xf>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44" fontId="12" fillId="0" borderId="0" applyFont="0" applyFill="0" applyBorder="0" applyAlignment="0" applyProtection="0"/>
    <xf numFmtId="182" fontId="40" fillId="0" borderId="0" applyFont="0" applyFill="0" applyBorder="0" applyAlignment="0" applyProtection="0"/>
    <xf numFmtId="8" fontId="12" fillId="0" borderId="0" applyFont="0" applyFill="0" applyBorder="0" applyAlignment="0" applyProtection="0"/>
    <xf numFmtId="183" fontId="40" fillId="0" borderId="0" applyFont="0" applyFill="0" applyBorder="0" applyAlignment="0" applyProtection="0"/>
    <xf numFmtId="0" fontId="47" fillId="0" borderId="0">
      <alignment/>
      <protection/>
    </xf>
    <xf numFmtId="41" fontId="47" fillId="0" borderId="0" applyFont="0" applyFill="0" applyBorder="0" applyAlignment="0" applyProtection="0"/>
    <xf numFmtId="43" fontId="47"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0" fillId="0" borderId="0">
      <alignment/>
      <protection/>
    </xf>
    <xf numFmtId="38" fontId="50" fillId="0" borderId="0" applyFont="0" applyFill="0" applyBorder="0" applyAlignment="0" applyProtection="0"/>
    <xf numFmtId="40" fontId="50"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54" fillId="0" borderId="0">
      <alignment/>
      <protection/>
    </xf>
  </cellStyleXfs>
  <cellXfs count="298">
    <xf numFmtId="0" fontId="0" fillId="0" borderId="0" xfId="0" applyAlignment="1">
      <alignment/>
    </xf>
    <xf numFmtId="2" fontId="2" fillId="2" borderId="12" xfId="0" applyNumberFormat="1" applyFont="1" applyFill="1" applyBorder="1" applyAlignment="1">
      <alignment horizontal="center" vertical="center" wrapText="1"/>
    </xf>
    <xf numFmtId="2" fontId="3" fillId="2" borderId="12" xfId="0" applyNumberFormat="1" applyFont="1" applyFill="1" applyBorder="1" applyAlignment="1">
      <alignment horizontal="left" vertical="center" wrapText="1"/>
    </xf>
    <xf numFmtId="2" fontId="3" fillId="39" borderId="12" xfId="0" applyNumberFormat="1" applyFont="1" applyFill="1" applyBorder="1" applyAlignment="1">
      <alignment horizontal="left" vertical="center"/>
    </xf>
    <xf numFmtId="2" fontId="3" fillId="2" borderId="12" xfId="0" applyNumberFormat="1" applyFont="1" applyFill="1" applyBorder="1" applyAlignment="1">
      <alignment horizontal="left" vertical="center"/>
    </xf>
    <xf numFmtId="2" fontId="3" fillId="2" borderId="12" xfId="0" applyNumberFormat="1" applyFont="1" applyFill="1" applyBorder="1" applyAlignment="1">
      <alignment horizontal="center" vertical="center" wrapText="1"/>
    </xf>
    <xf numFmtId="2" fontId="3" fillId="40" borderId="12" xfId="0" applyNumberFormat="1" applyFont="1" applyFill="1" applyBorder="1" applyAlignment="1">
      <alignment horizontal="center" vertical="center"/>
    </xf>
    <xf numFmtId="2" fontId="3" fillId="41" borderId="12" xfId="0" applyNumberFormat="1" applyFont="1" applyFill="1" applyBorder="1" applyAlignment="1">
      <alignment horizontal="left" vertical="center" wrapText="1"/>
    </xf>
    <xf numFmtId="4" fontId="3" fillId="42" borderId="12" xfId="0" applyNumberFormat="1" applyFont="1" applyFill="1" applyBorder="1" applyAlignment="1">
      <alignment horizontal="right" vertical="center"/>
    </xf>
    <xf numFmtId="4" fontId="3" fillId="42" borderId="12" xfId="0" applyNumberFormat="1" applyFont="1" applyFill="1" applyBorder="1" applyAlignment="1">
      <alignment horizontal="left" vertical="center"/>
    </xf>
    <xf numFmtId="4" fontId="3" fillId="2" borderId="12" xfId="0" applyNumberFormat="1" applyFont="1" applyFill="1" applyBorder="1" applyAlignment="1">
      <alignment horizontal="left" vertical="center"/>
    </xf>
    <xf numFmtId="2" fontId="3" fillId="2" borderId="12" xfId="0" applyNumberFormat="1" applyFont="1" applyFill="1" applyBorder="1" applyAlignment="1">
      <alignment horizontal="right" vertical="center"/>
    </xf>
    <xf numFmtId="2" fontId="3" fillId="4" borderId="12" xfId="0" applyNumberFormat="1" applyFont="1" applyFill="1" applyBorder="1" applyAlignment="1">
      <alignment horizontal="left" vertical="center"/>
    </xf>
    <xf numFmtId="2" fontId="3" fillId="2" borderId="12" xfId="0" applyNumberFormat="1" applyFont="1" applyFill="1" applyBorder="1" applyAlignment="1">
      <alignment horizontal="center" vertical="center"/>
    </xf>
    <xf numFmtId="10" fontId="3" fillId="42" borderId="12" xfId="0" applyNumberFormat="1" applyFont="1" applyFill="1" applyBorder="1" applyAlignment="1">
      <alignment horizontal="right" vertical="center"/>
    </xf>
    <xf numFmtId="4" fontId="3" fillId="2" borderId="12" xfId="0" applyNumberFormat="1" applyFont="1" applyFill="1" applyBorder="1" applyAlignment="1">
      <alignment horizontal="right" vertical="center"/>
    </xf>
    <xf numFmtId="2" fontId="2" fillId="2" borderId="12" xfId="0" applyNumberFormat="1" applyFont="1" applyFill="1" applyBorder="1" applyAlignment="1">
      <alignment horizontal="center" vertical="center"/>
    </xf>
    <xf numFmtId="2" fontId="3" fillId="41" borderId="12" xfId="0" applyNumberFormat="1" applyFont="1" applyFill="1" applyBorder="1" applyAlignment="1">
      <alignment horizontal="left" vertical="center"/>
    </xf>
    <xf numFmtId="0" fontId="0" fillId="40" borderId="1" xfId="0" applyFont="1" applyFill="1" applyBorder="1" applyAlignment="1">
      <alignment vertical="center"/>
    </xf>
    <xf numFmtId="2" fontId="3" fillId="41" borderId="12" xfId="0" applyNumberFormat="1" applyFont="1" applyFill="1" applyBorder="1" applyAlignment="1">
      <alignment horizontal="left" vertical="center" shrinkToFit="1"/>
    </xf>
    <xf numFmtId="4" fontId="3" fillId="0" borderId="12" xfId="0" applyNumberFormat="1" applyFont="1" applyFill="1" applyBorder="1" applyAlignment="1">
      <alignment horizontal="right" vertical="center"/>
    </xf>
    <xf numFmtId="2" fontId="3" fillId="39" borderId="12" xfId="0" applyNumberFormat="1" applyFont="1" applyFill="1" applyBorder="1" applyAlignment="1">
      <alignment horizontal="right" vertical="center"/>
    </xf>
    <xf numFmtId="2" fontId="3" fillId="41" borderId="12" xfId="0" applyNumberFormat="1" applyFont="1" applyFill="1" applyBorder="1" applyAlignment="1">
      <alignment horizontal="right" vertical="center"/>
    </xf>
    <xf numFmtId="4" fontId="3" fillId="10" borderId="12" xfId="0" applyNumberFormat="1" applyFont="1" applyFill="1" applyBorder="1" applyAlignment="1">
      <alignment horizontal="right" vertical="center"/>
    </xf>
    <xf numFmtId="10" fontId="3" fillId="2" borderId="12" xfId="0" applyNumberFormat="1" applyFont="1" applyFill="1" applyBorder="1" applyAlignment="1">
      <alignment horizontal="right" vertical="center"/>
    </xf>
    <xf numFmtId="184" fontId="0" fillId="0" borderId="0" xfId="0" applyNumberFormat="1" applyFont="1" applyAlignment="1">
      <alignment horizontal="right"/>
    </xf>
    <xf numFmtId="185" fontId="0" fillId="0" borderId="0" xfId="0" applyNumberFormat="1" applyAlignment="1">
      <alignment/>
    </xf>
    <xf numFmtId="2" fontId="4" fillId="2" borderId="12" xfId="0" applyNumberFormat="1" applyFont="1" applyFill="1" applyBorder="1" applyAlignment="1">
      <alignment horizontal="center" vertical="center"/>
    </xf>
    <xf numFmtId="1" fontId="3" fillId="4" borderId="12" xfId="0" applyNumberFormat="1" applyFont="1" applyFill="1" applyBorder="1" applyAlignment="1">
      <alignment horizontal="right" vertical="center"/>
    </xf>
    <xf numFmtId="2" fontId="3" fillId="40" borderId="13" xfId="0" applyNumberFormat="1" applyFont="1" applyFill="1" applyBorder="1" applyAlignment="1">
      <alignment horizontal="center" vertical="center"/>
    </xf>
    <xf numFmtId="2" fontId="3" fillId="40" borderId="14" xfId="0" applyNumberFormat="1" applyFont="1" applyFill="1" applyBorder="1" applyAlignment="1">
      <alignment horizontal="center" vertical="center"/>
    </xf>
    <xf numFmtId="0" fontId="3" fillId="2" borderId="12" xfId="0" applyNumberFormat="1" applyFont="1" applyFill="1" applyBorder="1" applyAlignment="1">
      <alignment horizontal="center" vertical="center"/>
    </xf>
    <xf numFmtId="184" fontId="0" fillId="0" borderId="0" xfId="0" applyNumberFormat="1" applyAlignment="1">
      <alignment/>
    </xf>
    <xf numFmtId="0" fontId="0" fillId="0" borderId="0" xfId="0" applyAlignment="1">
      <alignment horizontal="right"/>
    </xf>
    <xf numFmtId="2" fontId="2" fillId="2" borderId="15" xfId="0" applyNumberFormat="1" applyFont="1" applyFill="1" applyBorder="1" applyAlignment="1">
      <alignment horizontal="center" vertical="center"/>
    </xf>
    <xf numFmtId="2" fontId="2" fillId="2" borderId="15" xfId="0" applyNumberFormat="1" applyFont="1" applyFill="1" applyBorder="1" applyAlignment="1">
      <alignment horizontal="right" vertical="center"/>
    </xf>
    <xf numFmtId="2" fontId="3" fillId="2" borderId="1" xfId="0" applyNumberFormat="1" applyFont="1" applyFill="1" applyBorder="1" applyAlignment="1">
      <alignment horizontal="left" vertical="center"/>
    </xf>
    <xf numFmtId="2" fontId="3" fillId="0" borderId="1" xfId="0" applyNumberFormat="1" applyFont="1" applyFill="1" applyBorder="1" applyAlignment="1">
      <alignment horizontal="right" vertical="center"/>
    </xf>
    <xf numFmtId="2" fontId="3" fillId="0" borderId="1" xfId="0" applyNumberFormat="1" applyFont="1" applyFill="1" applyBorder="1" applyAlignment="1">
      <alignment horizontal="left" vertical="center"/>
    </xf>
    <xf numFmtId="1" fontId="3" fillId="2" borderId="1" xfId="0" applyNumberFormat="1" applyFont="1" applyFill="1" applyBorder="1" applyAlignment="1">
      <alignment horizontal="left" vertical="center"/>
    </xf>
    <xf numFmtId="2" fontId="3" fillId="2" borderId="1" xfId="0" applyNumberFormat="1" applyFont="1" applyFill="1" applyBorder="1" applyAlignment="1">
      <alignment horizontal="center" vertical="center"/>
    </xf>
    <xf numFmtId="2" fontId="3" fillId="41" borderId="1" xfId="0" applyNumberFormat="1" applyFont="1" applyFill="1" applyBorder="1" applyAlignment="1">
      <alignment horizontal="center" vertical="center"/>
    </xf>
    <xf numFmtId="2" fontId="3" fillId="41" borderId="1" xfId="0" applyNumberFormat="1" applyFont="1" applyFill="1" applyBorder="1" applyAlignment="1">
      <alignment horizontal="right" vertical="center"/>
    </xf>
    <xf numFmtId="2" fontId="3" fillId="41" borderId="1" xfId="0" applyNumberFormat="1" applyFont="1" applyFill="1" applyBorder="1" applyAlignment="1">
      <alignment horizontal="left" vertical="center"/>
    </xf>
    <xf numFmtId="4" fontId="3" fillId="42" borderId="1" xfId="0" applyNumberFormat="1" applyFont="1" applyFill="1" applyBorder="1" applyAlignment="1">
      <alignment horizontal="right" vertical="center"/>
    </xf>
    <xf numFmtId="2" fontId="3" fillId="40" borderId="1" xfId="0" applyNumberFormat="1" applyFont="1" applyFill="1" applyBorder="1" applyAlignment="1">
      <alignment horizontal="left" vertical="center"/>
    </xf>
    <xf numFmtId="4" fontId="3" fillId="2" borderId="1" xfId="0" applyNumberFormat="1" applyFont="1" applyFill="1" applyBorder="1" applyAlignment="1">
      <alignment horizontal="right" vertical="center"/>
    </xf>
    <xf numFmtId="4" fontId="3" fillId="10" borderId="1" xfId="0" applyNumberFormat="1" applyFont="1" applyFill="1" applyBorder="1" applyAlignment="1">
      <alignment horizontal="right" vertical="center"/>
    </xf>
    <xf numFmtId="4" fontId="3" fillId="2" borderId="1" xfId="0" applyNumberFormat="1" applyFont="1" applyFill="1" applyBorder="1" applyAlignment="1">
      <alignment horizontal="left" vertical="center"/>
    </xf>
    <xf numFmtId="186" fontId="75" fillId="10" borderId="1" xfId="123" applyNumberFormat="1" applyFont="1" applyFill="1" applyBorder="1" applyAlignment="1">
      <alignment horizontal="right" vertical="center" shrinkToFit="1"/>
      <protection/>
    </xf>
    <xf numFmtId="0" fontId="0" fillId="40" borderId="1" xfId="0" applyFill="1" applyBorder="1" applyAlignment="1">
      <alignment/>
    </xf>
    <xf numFmtId="2" fontId="3" fillId="2" borderId="1" xfId="0" applyNumberFormat="1" applyFont="1" applyFill="1" applyBorder="1" applyAlignment="1">
      <alignment horizontal="right" vertical="center"/>
    </xf>
    <xf numFmtId="10" fontId="3" fillId="42" borderId="1" xfId="0" applyNumberFormat="1" applyFont="1" applyFill="1" applyBorder="1" applyAlignment="1">
      <alignment horizontal="right" vertical="center"/>
    </xf>
    <xf numFmtId="0" fontId="0" fillId="0" borderId="1" xfId="0" applyBorder="1" applyAlignment="1">
      <alignment/>
    </xf>
    <xf numFmtId="2" fontId="3" fillId="4" borderId="1" xfId="0" applyNumberFormat="1" applyFont="1" applyFill="1" applyBorder="1" applyAlignment="1">
      <alignment horizontal="right" vertical="center"/>
    </xf>
    <xf numFmtId="2" fontId="3" fillId="39" borderId="1" xfId="0" applyNumberFormat="1" applyFont="1" applyFill="1" applyBorder="1" applyAlignment="1">
      <alignment horizontal="right" vertical="center"/>
    </xf>
    <xf numFmtId="4" fontId="3" fillId="2" borderId="12" xfId="0" applyNumberFormat="1" applyFont="1" applyFill="1" applyBorder="1" applyAlignment="1">
      <alignment horizontal="center" vertical="center"/>
    </xf>
    <xf numFmtId="4" fontId="3" fillId="0" borderId="12" xfId="0" applyNumberFormat="1" applyFont="1" applyFill="1" applyBorder="1" applyAlignment="1">
      <alignment horizontal="left" vertical="center"/>
    </xf>
    <xf numFmtId="0" fontId="0" fillId="0" borderId="0" xfId="0" applyFill="1" applyAlignment="1">
      <alignment/>
    </xf>
    <xf numFmtId="2" fontId="2" fillId="0" borderId="12" xfId="0" applyNumberFormat="1" applyFont="1" applyFill="1" applyBorder="1" applyAlignment="1">
      <alignment horizontal="center" vertical="center"/>
    </xf>
    <xf numFmtId="2" fontId="3" fillId="0" borderId="12" xfId="0" applyNumberFormat="1" applyFont="1" applyFill="1" applyBorder="1" applyAlignment="1">
      <alignment horizontal="left" vertical="center"/>
    </xf>
    <xf numFmtId="2" fontId="3" fillId="0" borderId="12" xfId="0" applyNumberFormat="1" applyFont="1" applyFill="1" applyBorder="1" applyAlignment="1">
      <alignment horizontal="center" vertical="center"/>
    </xf>
    <xf numFmtId="2" fontId="3" fillId="0" borderId="12" xfId="0" applyNumberFormat="1" applyFont="1" applyFill="1" applyBorder="1" applyAlignment="1">
      <alignment horizontal="right" vertical="center"/>
    </xf>
    <xf numFmtId="10" fontId="3" fillId="10" borderId="12" xfId="0" applyNumberFormat="1" applyFont="1" applyFill="1" applyBorder="1" applyAlignment="1">
      <alignment horizontal="right" vertical="center"/>
    </xf>
    <xf numFmtId="187" fontId="0" fillId="0" borderId="0" xfId="0" applyNumberFormat="1" applyFill="1" applyAlignment="1">
      <alignment/>
    </xf>
    <xf numFmtId="4" fontId="3" fillId="2" borderId="12" xfId="0" applyNumberFormat="1" applyFont="1" applyFill="1" applyBorder="1" applyAlignment="1">
      <alignment vertical="center"/>
    </xf>
    <xf numFmtId="4" fontId="0" fillId="2" borderId="12" xfId="0" applyNumberFormat="1" applyFill="1" applyBorder="1" applyAlignment="1">
      <alignment horizontal="left" vertical="center"/>
    </xf>
    <xf numFmtId="4" fontId="0" fillId="2" borderId="12" xfId="0" applyNumberFormat="1" applyFill="1" applyBorder="1" applyAlignment="1">
      <alignment horizontal="right" vertical="center"/>
    </xf>
    <xf numFmtId="4" fontId="3" fillId="10" borderId="12" xfId="0" applyNumberFormat="1" applyFont="1" applyFill="1" applyBorder="1" applyAlignment="1">
      <alignment horizontal="left" vertical="center"/>
    </xf>
    <xf numFmtId="188" fontId="6" fillId="0" borderId="0" xfId="125" applyNumberFormat="1" applyFont="1" applyFill="1" applyBorder="1" applyAlignment="1" applyProtection="1">
      <alignment horizontal="center" vertical="center"/>
      <protection/>
    </xf>
    <xf numFmtId="0" fontId="76" fillId="0" borderId="0" xfId="0" applyFont="1" applyAlignment="1">
      <alignment/>
    </xf>
    <xf numFmtId="188" fontId="0" fillId="0" borderId="0" xfId="0" applyNumberFormat="1" applyAlignment="1">
      <alignment/>
    </xf>
    <xf numFmtId="188" fontId="6" fillId="0" borderId="0" xfId="125" applyNumberFormat="1" applyFont="1" applyFill="1" applyAlignment="1" applyProtection="1">
      <alignment horizontal="center" vertical="center"/>
      <protection/>
    </xf>
    <xf numFmtId="189" fontId="0" fillId="0" borderId="0" xfId="0" applyNumberFormat="1" applyAlignment="1">
      <alignment/>
    </xf>
    <xf numFmtId="0" fontId="1" fillId="0" borderId="0" xfId="125" applyNumberFormat="1" applyFont="1" applyFill="1" applyBorder="1" applyAlignment="1" applyProtection="1">
      <alignment horizontal="center" vertical="center"/>
      <protection/>
    </xf>
    <xf numFmtId="0" fontId="1" fillId="0" borderId="0" xfId="125" applyNumberFormat="1" applyFont="1" applyFill="1" applyAlignment="1" applyProtection="1">
      <alignment horizontal="center" vertical="center"/>
      <protection/>
    </xf>
    <xf numFmtId="4" fontId="3" fillId="41" borderId="12" xfId="0" applyNumberFormat="1" applyFont="1" applyFill="1" applyBorder="1" applyAlignment="1">
      <alignment horizontal="center" vertical="center"/>
    </xf>
    <xf numFmtId="1" fontId="3" fillId="2" borderId="12" xfId="0" applyNumberFormat="1" applyFont="1" applyFill="1" applyBorder="1" applyAlignment="1">
      <alignment horizontal="left" vertical="center"/>
    </xf>
    <xf numFmtId="1" fontId="3" fillId="42" borderId="12" xfId="0" applyNumberFormat="1" applyFont="1" applyFill="1" applyBorder="1" applyAlignment="1">
      <alignment horizontal="center" vertical="center"/>
    </xf>
    <xf numFmtId="184" fontId="3" fillId="42" borderId="12" xfId="0" applyNumberFormat="1" applyFont="1" applyFill="1" applyBorder="1" applyAlignment="1">
      <alignment horizontal="right" vertical="center"/>
    </xf>
    <xf numFmtId="2" fontId="5" fillId="2" borderId="12"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xf>
    <xf numFmtId="188" fontId="5" fillId="0" borderId="1" xfId="0" applyNumberFormat="1" applyFont="1" applyFill="1" applyBorder="1" applyAlignment="1">
      <alignment horizontal="right" vertical="center" wrapText="1"/>
    </xf>
    <xf numFmtId="2" fontId="3" fillId="2" borderId="12" xfId="0" applyNumberFormat="1" applyFont="1" applyFill="1" applyBorder="1" applyAlignment="1">
      <alignment vertical="center"/>
    </xf>
    <xf numFmtId="2" fontId="3" fillId="39" borderId="12" xfId="0" applyNumberFormat="1" applyFont="1" applyFill="1" applyBorder="1" applyAlignment="1">
      <alignment vertical="center"/>
    </xf>
    <xf numFmtId="2" fontId="3" fillId="40" borderId="15" xfId="0" applyNumberFormat="1" applyFont="1" applyFill="1" applyBorder="1" applyAlignment="1">
      <alignment horizontal="center" vertical="center"/>
    </xf>
    <xf numFmtId="2" fontId="3" fillId="39" borderId="12" xfId="0" applyNumberFormat="1" applyFont="1" applyFill="1" applyBorder="1" applyAlignment="1">
      <alignment horizontal="left" vertical="center" wrapText="1"/>
    </xf>
    <xf numFmtId="2" fontId="3" fillId="39" borderId="12" xfId="0" applyNumberFormat="1" applyFont="1" applyFill="1" applyBorder="1" applyAlignment="1">
      <alignment horizontal="center" vertical="center"/>
    </xf>
    <xf numFmtId="2" fontId="3" fillId="2" borderId="12" xfId="0" applyNumberFormat="1" applyFont="1" applyFill="1" applyBorder="1" applyAlignment="1" applyProtection="1">
      <alignment horizontal="center" vertical="center"/>
      <protection locked="0"/>
    </xf>
    <xf numFmtId="4" fontId="3" fillId="2" borderId="16" xfId="0" applyNumberFormat="1" applyFont="1" applyFill="1" applyBorder="1" applyAlignment="1" applyProtection="1">
      <alignment horizontal="right" vertical="center"/>
      <protection locked="0"/>
    </xf>
    <xf numFmtId="2" fontId="3" fillId="39" borderId="15" xfId="0" applyNumberFormat="1" applyFont="1" applyFill="1" applyBorder="1" applyAlignment="1">
      <alignment horizontal="center" vertical="center" wrapText="1"/>
    </xf>
    <xf numFmtId="4" fontId="3" fillId="2" borderId="15" xfId="0" applyNumberFormat="1" applyFont="1" applyFill="1" applyBorder="1" applyAlignment="1">
      <alignment horizontal="center" vertical="center"/>
    </xf>
    <xf numFmtId="0" fontId="0" fillId="0" borderId="0" xfId="0" applyFont="1" applyFill="1" applyBorder="1" applyAlignment="1">
      <alignment horizontal="right"/>
    </xf>
    <xf numFmtId="2" fontId="3" fillId="39" borderId="17" xfId="0" applyNumberFormat="1" applyFont="1" applyFill="1" applyBorder="1" applyAlignment="1">
      <alignment horizontal="center" vertical="center" wrapText="1"/>
    </xf>
    <xf numFmtId="4" fontId="3" fillId="2" borderId="17" xfId="0" applyNumberFormat="1" applyFont="1" applyFill="1" applyBorder="1" applyAlignment="1">
      <alignment horizontal="center" vertical="center"/>
    </xf>
    <xf numFmtId="4" fontId="3" fillId="42" borderId="17" xfId="0" applyNumberFormat="1" applyFont="1" applyFill="1" applyBorder="1" applyAlignment="1">
      <alignment horizontal="right" vertical="center"/>
    </xf>
    <xf numFmtId="4" fontId="3" fillId="2" borderId="18" xfId="0" applyNumberFormat="1" applyFont="1" applyFill="1" applyBorder="1" applyAlignment="1">
      <alignment horizontal="right" vertical="center"/>
    </xf>
    <xf numFmtId="2" fontId="3" fillId="4" borderId="12" xfId="0" applyNumberFormat="1" applyFont="1" applyFill="1" applyBorder="1" applyAlignment="1">
      <alignment horizontal="center" vertical="center"/>
    </xf>
    <xf numFmtId="0" fontId="0" fillId="0" borderId="0" xfId="0"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2" fontId="2" fillId="2" borderId="12" xfId="0" applyNumberFormat="1" applyFont="1" applyFill="1" applyBorder="1" applyAlignment="1" applyProtection="1">
      <alignment horizontal="center" vertical="center"/>
      <protection locked="0"/>
    </xf>
    <xf numFmtId="2" fontId="3" fillId="2" borderId="12" xfId="0" applyNumberFormat="1" applyFont="1" applyFill="1" applyBorder="1" applyAlignment="1" applyProtection="1">
      <alignment horizontal="left" vertical="center"/>
      <protection locked="0"/>
    </xf>
    <xf numFmtId="2" fontId="3" fillId="0" borderId="16" xfId="0" applyNumberFormat="1" applyFont="1" applyFill="1" applyBorder="1" applyAlignment="1" applyProtection="1">
      <alignment vertical="center"/>
      <protection locked="0"/>
    </xf>
    <xf numFmtId="2" fontId="3" fillId="0" borderId="19" xfId="0" applyNumberFormat="1" applyFont="1" applyFill="1" applyBorder="1" applyAlignment="1" applyProtection="1">
      <alignment vertical="center"/>
      <protection locked="0"/>
    </xf>
    <xf numFmtId="2" fontId="3" fillId="0" borderId="18" xfId="0" applyNumberFormat="1" applyFont="1" applyFill="1" applyBorder="1" applyAlignment="1" applyProtection="1">
      <alignment vertical="center"/>
      <protection locked="0"/>
    </xf>
    <xf numFmtId="2" fontId="3" fillId="2" borderId="16" xfId="0" applyNumberFormat="1" applyFont="1" applyFill="1" applyBorder="1" applyAlignment="1" applyProtection="1">
      <alignment horizontal="center" vertical="center"/>
      <protection locked="0"/>
    </xf>
    <xf numFmtId="2" fontId="3" fillId="2" borderId="19" xfId="0" applyNumberFormat="1" applyFont="1" applyFill="1" applyBorder="1" applyAlignment="1" applyProtection="1">
      <alignment horizontal="center" vertical="center"/>
      <protection locked="0"/>
    </xf>
    <xf numFmtId="2" fontId="3" fillId="2" borderId="18" xfId="0" applyNumberFormat="1" applyFont="1" applyFill="1" applyBorder="1" applyAlignment="1" applyProtection="1">
      <alignment horizontal="center" vertical="center"/>
      <protection locked="0"/>
    </xf>
    <xf numFmtId="2" fontId="3" fillId="40" borderId="15" xfId="0" applyNumberFormat="1" applyFont="1" applyFill="1" applyBorder="1" applyAlignment="1" applyProtection="1">
      <alignment horizontal="center" vertical="center"/>
      <protection locked="0"/>
    </xf>
    <xf numFmtId="2" fontId="3" fillId="40" borderId="12" xfId="0" applyNumberFormat="1" applyFont="1" applyFill="1" applyBorder="1" applyAlignment="1" applyProtection="1">
      <alignment horizontal="center" vertical="center"/>
      <protection locked="0"/>
    </xf>
    <xf numFmtId="4" fontId="3" fillId="2" borderId="16" xfId="0" applyNumberFormat="1" applyFont="1" applyFill="1" applyBorder="1" applyAlignment="1" applyProtection="1">
      <alignment horizontal="center" vertical="center"/>
      <protection locked="0"/>
    </xf>
    <xf numFmtId="4" fontId="3" fillId="2" borderId="19" xfId="0" applyNumberFormat="1" applyFont="1" applyFill="1" applyBorder="1" applyAlignment="1" applyProtection="1">
      <alignment horizontal="center" vertical="center"/>
      <protection locked="0"/>
    </xf>
    <xf numFmtId="4" fontId="3" fillId="2" borderId="18" xfId="0" applyNumberFormat="1" applyFont="1" applyFill="1" applyBorder="1" applyAlignment="1" applyProtection="1">
      <alignment horizontal="center" vertical="center"/>
      <protection locked="0"/>
    </xf>
    <xf numFmtId="4" fontId="8" fillId="2" borderId="16" xfId="0" applyNumberFormat="1" applyFont="1" applyFill="1" applyBorder="1" applyAlignment="1" applyProtection="1">
      <alignment horizontal="center" vertical="center"/>
      <protection locked="0"/>
    </xf>
    <xf numFmtId="4" fontId="8" fillId="2" borderId="19" xfId="0" applyNumberFormat="1" applyFont="1" applyFill="1" applyBorder="1" applyAlignment="1" applyProtection="1">
      <alignment horizontal="center" vertical="center"/>
      <protection locked="0"/>
    </xf>
    <xf numFmtId="4" fontId="3" fillId="42" borderId="12" xfId="0" applyNumberFormat="1" applyFont="1" applyFill="1" applyBorder="1" applyAlignment="1" applyProtection="1">
      <alignment horizontal="right" vertical="center"/>
      <protection/>
    </xf>
    <xf numFmtId="4" fontId="3" fillId="42" borderId="12" xfId="0" applyNumberFormat="1" applyFont="1" applyFill="1" applyBorder="1" applyAlignment="1" applyProtection="1">
      <alignment horizontal="left" vertical="center"/>
      <protection/>
    </xf>
    <xf numFmtId="2" fontId="3" fillId="41" borderId="12" xfId="0" applyNumberFormat="1" applyFont="1" applyFill="1" applyBorder="1" applyAlignment="1" applyProtection="1">
      <alignment horizontal="left" vertical="center"/>
      <protection locked="0"/>
    </xf>
    <xf numFmtId="4" fontId="3" fillId="2" borderId="12" xfId="0" applyNumberFormat="1" applyFont="1" applyFill="1" applyBorder="1" applyAlignment="1" applyProtection="1">
      <alignment horizontal="right" vertical="center"/>
      <protection locked="0"/>
    </xf>
    <xf numFmtId="4" fontId="3" fillId="2" borderId="12" xfId="0" applyNumberFormat="1" applyFont="1" applyFill="1" applyBorder="1" applyAlignment="1" applyProtection="1">
      <alignment horizontal="left" vertical="center"/>
      <protection locked="0"/>
    </xf>
    <xf numFmtId="4" fontId="3" fillId="10" borderId="12" xfId="0" applyNumberFormat="1" applyFont="1" applyFill="1" applyBorder="1" applyAlignment="1" applyProtection="1">
      <alignment horizontal="right" vertical="center"/>
      <protection/>
    </xf>
    <xf numFmtId="4" fontId="3" fillId="2" borderId="12" xfId="0" applyNumberFormat="1" applyFont="1" applyFill="1" applyBorder="1" applyAlignment="1" applyProtection="1">
      <alignment horizontal="left" vertical="center"/>
      <protection/>
    </xf>
    <xf numFmtId="4" fontId="9" fillId="2" borderId="12" xfId="126" applyNumberFormat="1" applyFont="1" applyFill="1" applyBorder="1" applyAlignment="1" applyProtection="1">
      <alignment horizontal="left" vertical="center"/>
      <protection locked="0"/>
    </xf>
    <xf numFmtId="2" fontId="3" fillId="4" borderId="12" xfId="0" applyNumberFormat="1" applyFont="1" applyFill="1" applyBorder="1" applyAlignment="1" applyProtection="1">
      <alignment horizontal="right" vertical="center"/>
      <protection locked="0"/>
    </xf>
    <xf numFmtId="2" fontId="3" fillId="2" borderId="12" xfId="0" applyNumberFormat="1" applyFont="1" applyFill="1" applyBorder="1" applyAlignment="1" applyProtection="1">
      <alignment horizontal="right" vertical="center"/>
      <protection locked="0"/>
    </xf>
    <xf numFmtId="4" fontId="8" fillId="2" borderId="20"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left"/>
      <protection locked="0"/>
    </xf>
    <xf numFmtId="0" fontId="6" fillId="0" borderId="22" xfId="0" applyFont="1" applyFill="1" applyBorder="1" applyAlignment="1" applyProtection="1">
      <alignment horizontal="left"/>
      <protection locked="0"/>
    </xf>
    <xf numFmtId="4" fontId="77" fillId="2" borderId="12" xfId="0" applyNumberFormat="1" applyFont="1" applyFill="1" applyBorder="1" applyAlignment="1" applyProtection="1">
      <alignment horizontal="left" vertical="center"/>
      <protection locked="0"/>
    </xf>
    <xf numFmtId="0" fontId="0" fillId="0" borderId="22" xfId="0" applyFont="1" applyFill="1" applyBorder="1" applyAlignment="1" applyProtection="1">
      <alignment horizontal="left"/>
      <protection locked="0"/>
    </xf>
    <xf numFmtId="0" fontId="0" fillId="0" borderId="23" xfId="0" applyFont="1" applyFill="1" applyBorder="1" applyAlignment="1" applyProtection="1">
      <alignment horizontal="left"/>
      <protection locked="0"/>
    </xf>
    <xf numFmtId="4" fontId="3" fillId="10" borderId="12" xfId="0" applyNumberFormat="1" applyFont="1" applyFill="1" applyBorder="1" applyAlignment="1" applyProtection="1">
      <alignment horizontal="left" vertical="center"/>
      <protection/>
    </xf>
    <xf numFmtId="2" fontId="3" fillId="2" borderId="24" xfId="0" applyNumberFormat="1" applyFont="1" applyFill="1" applyBorder="1" applyAlignment="1" applyProtection="1">
      <alignment horizontal="center" vertical="center"/>
      <protection locked="0"/>
    </xf>
    <xf numFmtId="2" fontId="3" fillId="2" borderId="25" xfId="0" applyNumberFormat="1" applyFont="1" applyFill="1" applyBorder="1" applyAlignment="1" applyProtection="1">
      <alignment horizontal="center" vertical="center"/>
      <protection locked="0"/>
    </xf>
    <xf numFmtId="4" fontId="3" fillId="2" borderId="26" xfId="0" applyNumberFormat="1" applyFont="1" applyFill="1" applyBorder="1" applyAlignment="1" applyProtection="1">
      <alignment horizontal="center" vertical="center"/>
      <protection locked="0"/>
    </xf>
    <xf numFmtId="4" fontId="3" fillId="2" borderId="27" xfId="0" applyNumberFormat="1" applyFont="1" applyFill="1" applyBorder="1" applyAlignment="1" applyProtection="1">
      <alignment horizontal="center" vertical="center"/>
      <protection locked="0"/>
    </xf>
    <xf numFmtId="4" fontId="8" fillId="2" borderId="28" xfId="0" applyNumberFormat="1" applyFont="1" applyFill="1" applyBorder="1" applyAlignment="1" applyProtection="1">
      <alignment horizontal="center" vertical="center" wrapText="1"/>
      <protection locked="0"/>
    </xf>
    <xf numFmtId="4" fontId="8" fillId="2" borderId="24" xfId="0" applyNumberFormat="1" applyFont="1" applyFill="1" applyBorder="1" applyAlignment="1" applyProtection="1">
      <alignment horizontal="center" vertical="center" wrapText="1"/>
      <protection locked="0"/>
    </xf>
    <xf numFmtId="4" fontId="3" fillId="42" borderId="17" xfId="0" applyNumberFormat="1" applyFont="1" applyFill="1" applyBorder="1" applyAlignment="1" applyProtection="1">
      <alignment horizontal="left" vertical="center"/>
      <protection/>
    </xf>
    <xf numFmtId="4" fontId="9" fillId="10" borderId="12" xfId="126" applyNumberFormat="1" applyFont="1" applyFill="1" applyBorder="1" applyAlignment="1" applyProtection="1">
      <alignment horizontal="right" vertical="center"/>
      <protection locked="0"/>
    </xf>
    <xf numFmtId="2" fontId="3" fillId="39" borderId="12" xfId="0" applyNumberFormat="1" applyFont="1" applyFill="1" applyBorder="1" applyAlignment="1" applyProtection="1">
      <alignment horizontal="left" vertical="center"/>
      <protection locked="0"/>
    </xf>
    <xf numFmtId="184" fontId="0" fillId="0" borderId="0" xfId="0" applyNumberFormat="1" applyFont="1" applyFill="1" applyBorder="1" applyAlignment="1" applyProtection="1">
      <alignment/>
      <protection locked="0"/>
    </xf>
    <xf numFmtId="2" fontId="2" fillId="2" borderId="12" xfId="0" applyNumberFormat="1" applyFont="1" applyFill="1" applyBorder="1" applyAlignment="1" applyProtection="1">
      <alignment horizontal="center" vertical="center"/>
      <protection locked="0"/>
    </xf>
    <xf numFmtId="2" fontId="3" fillId="2" borderId="12" xfId="0" applyNumberFormat="1" applyFont="1" applyFill="1" applyBorder="1" applyAlignment="1" applyProtection="1">
      <alignment horizontal="left" vertical="center"/>
      <protection locked="0"/>
    </xf>
    <xf numFmtId="2" fontId="3" fillId="0" borderId="12" xfId="0" applyNumberFormat="1" applyFont="1" applyFill="1" applyBorder="1" applyAlignment="1" applyProtection="1">
      <alignment horizontal="left" vertical="center"/>
      <protection locked="0"/>
    </xf>
    <xf numFmtId="2" fontId="3" fillId="0" borderId="12" xfId="0" applyNumberFormat="1" applyFont="1" applyFill="1" applyBorder="1" applyAlignment="1" applyProtection="1">
      <alignment horizontal="right" vertical="center"/>
      <protection locked="0"/>
    </xf>
    <xf numFmtId="2" fontId="3" fillId="39" borderId="12" xfId="0" applyNumberFormat="1" applyFont="1" applyFill="1" applyBorder="1" applyAlignment="1" applyProtection="1">
      <alignment horizontal="center" vertical="center"/>
      <protection locked="0"/>
    </xf>
    <xf numFmtId="2" fontId="3" fillId="2" borderId="12" xfId="0" applyNumberFormat="1" applyFont="1" applyFill="1" applyBorder="1" applyAlignment="1" applyProtection="1">
      <alignment horizontal="center" vertical="center"/>
      <protection locked="0"/>
    </xf>
    <xf numFmtId="2" fontId="3" fillId="40" borderId="12" xfId="0" applyNumberFormat="1" applyFont="1" applyFill="1" applyBorder="1" applyAlignment="1" applyProtection="1">
      <alignment horizontal="center" vertical="center"/>
      <protection locked="0"/>
    </xf>
    <xf numFmtId="2" fontId="3" fillId="41" borderId="12" xfId="0" applyNumberFormat="1" applyFont="1" applyFill="1" applyBorder="1" applyAlignment="1" applyProtection="1">
      <alignment horizontal="center" vertical="center"/>
      <protection locked="0"/>
    </xf>
    <xf numFmtId="2" fontId="3" fillId="39" borderId="12" xfId="0" applyNumberFormat="1" applyFont="1" applyFill="1" applyBorder="1" applyAlignment="1" applyProtection="1">
      <alignment horizontal="left" vertical="center"/>
      <protection locked="0"/>
    </xf>
    <xf numFmtId="0" fontId="3" fillId="2" borderId="12" xfId="0" applyNumberFormat="1" applyFont="1" applyFill="1" applyBorder="1" applyAlignment="1" applyProtection="1">
      <alignment horizontal="center" vertical="center"/>
      <protection locked="0"/>
    </xf>
    <xf numFmtId="4" fontId="3" fillId="2" borderId="12" xfId="0" applyNumberFormat="1" applyFont="1" applyFill="1" applyBorder="1" applyAlignment="1" applyProtection="1">
      <alignment horizontal="right" vertical="center"/>
      <protection locked="0"/>
    </xf>
    <xf numFmtId="4" fontId="3" fillId="10" borderId="12" xfId="0" applyNumberFormat="1" applyFont="1" applyFill="1" applyBorder="1" applyAlignment="1" applyProtection="1">
      <alignment horizontal="right" vertical="center"/>
      <protection/>
    </xf>
    <xf numFmtId="2" fontId="3" fillId="39" borderId="12" xfId="0" applyNumberFormat="1" applyFont="1" applyFill="1" applyBorder="1" applyAlignment="1" applyProtection="1">
      <alignment horizontal="left" vertical="center" wrapText="1"/>
      <protection locked="0"/>
    </xf>
    <xf numFmtId="2" fontId="3" fillId="2" borderId="12" xfId="0" applyNumberFormat="1" applyFont="1" applyFill="1" applyBorder="1" applyAlignment="1" applyProtection="1">
      <alignment horizontal="center" vertical="center" wrapText="1"/>
      <protection locked="0"/>
    </xf>
    <xf numFmtId="2" fontId="3" fillId="2" borderId="12" xfId="0" applyNumberFormat="1" applyFont="1" applyFill="1" applyBorder="1" applyAlignment="1" applyProtection="1">
      <alignment horizontal="center" vertical="center" wrapText="1"/>
      <protection locked="0"/>
    </xf>
    <xf numFmtId="2" fontId="3" fillId="41" borderId="12" xfId="0" applyNumberFormat="1" applyFont="1" applyFill="1" applyBorder="1" applyAlignment="1" applyProtection="1">
      <alignment horizontal="left" vertical="center"/>
      <protection locked="0"/>
    </xf>
    <xf numFmtId="4" fontId="3" fillId="42" borderId="12" xfId="0" applyNumberFormat="1" applyFont="1" applyFill="1" applyBorder="1" applyAlignment="1" applyProtection="1">
      <alignment horizontal="right" vertical="center"/>
      <protection/>
    </xf>
    <xf numFmtId="2" fontId="3" fillId="4" borderId="12" xfId="0" applyNumberFormat="1" applyFont="1" applyFill="1" applyBorder="1" applyAlignment="1" applyProtection="1">
      <alignment horizontal="left" vertical="center"/>
      <protection locked="0"/>
    </xf>
    <xf numFmtId="2" fontId="3" fillId="2" borderId="12" xfId="0" applyNumberFormat="1" applyFont="1" applyFill="1" applyBorder="1" applyAlignment="1" applyProtection="1">
      <alignment horizontal="right" vertical="center"/>
      <protection locked="0"/>
    </xf>
    <xf numFmtId="4" fontId="3" fillId="2" borderId="12" xfId="0" applyNumberFormat="1" applyFont="1" applyFill="1" applyBorder="1" applyAlignment="1" applyProtection="1">
      <alignment horizontal="center" vertical="center"/>
      <protection locked="0"/>
    </xf>
    <xf numFmtId="3" fontId="3" fillId="42" borderId="12" xfId="0" applyNumberFormat="1" applyFont="1" applyFill="1" applyBorder="1" applyAlignment="1">
      <alignment horizontal="right" vertical="center"/>
    </xf>
    <xf numFmtId="3" fontId="3" fillId="2" borderId="12" xfId="0" applyNumberFormat="1" applyFont="1" applyFill="1" applyBorder="1" applyAlignment="1">
      <alignment horizontal="left" vertical="center"/>
    </xf>
    <xf numFmtId="3" fontId="3" fillId="2" borderId="12" xfId="0" applyNumberFormat="1" applyFont="1" applyFill="1" applyBorder="1" applyAlignment="1">
      <alignment horizontal="right" vertical="center"/>
    </xf>
    <xf numFmtId="2" fontId="3" fillId="41" borderId="12" xfId="0" applyNumberFormat="1" applyFont="1" applyFill="1" applyBorder="1" applyAlignment="1">
      <alignment horizontal="center" vertical="center" wrapText="1"/>
    </xf>
    <xf numFmtId="2" fontId="3" fillId="41" borderId="16" xfId="0" applyNumberFormat="1" applyFont="1" applyFill="1" applyBorder="1" applyAlignment="1">
      <alignment horizontal="center" vertical="center"/>
    </xf>
    <xf numFmtId="2" fontId="3" fillId="41" borderId="19" xfId="0" applyNumberFormat="1" applyFont="1" applyFill="1" applyBorder="1" applyAlignment="1">
      <alignment horizontal="center" vertical="center"/>
    </xf>
    <xf numFmtId="2" fontId="3" fillId="41" borderId="18" xfId="0" applyNumberFormat="1" applyFont="1" applyFill="1" applyBorder="1" applyAlignment="1">
      <alignment horizontal="center" vertical="center"/>
    </xf>
    <xf numFmtId="2" fontId="3" fillId="41" borderId="15" xfId="0" applyNumberFormat="1" applyFont="1" applyFill="1" applyBorder="1" applyAlignment="1">
      <alignment horizontal="center" vertical="center"/>
    </xf>
    <xf numFmtId="2" fontId="3" fillId="41" borderId="14" xfId="0" applyNumberFormat="1" applyFont="1" applyFill="1" applyBorder="1" applyAlignment="1">
      <alignment horizontal="center" vertical="center"/>
    </xf>
    <xf numFmtId="186" fontId="78" fillId="10" borderId="1" xfId="123" applyNumberFormat="1" applyFont="1" applyFill="1" applyBorder="1" applyAlignment="1">
      <alignment horizontal="right" vertical="center" shrinkToFit="1"/>
      <protection/>
    </xf>
    <xf numFmtId="0" fontId="12" fillId="0" borderId="0" xfId="127" applyFont="1">
      <alignment vertical="center"/>
      <protection/>
    </xf>
    <xf numFmtId="0" fontId="5" fillId="0" borderId="0" xfId="127" applyFont="1">
      <alignment vertical="center"/>
      <protection/>
    </xf>
    <xf numFmtId="0" fontId="11" fillId="0" borderId="0" xfId="127" applyFont="1" applyAlignment="1">
      <alignment horizontal="center" vertical="center" shrinkToFit="1"/>
      <protection/>
    </xf>
    <xf numFmtId="0" fontId="6" fillId="0" borderId="0" xfId="127" applyFont="1" applyAlignment="1">
      <alignment horizontal="center" vertical="center"/>
      <protection/>
    </xf>
    <xf numFmtId="0" fontId="56" fillId="0" borderId="0" xfId="0" applyFont="1" applyFill="1" applyAlignment="1">
      <alignment vertical="center"/>
    </xf>
    <xf numFmtId="0" fontId="14" fillId="0" borderId="0" xfId="127" applyFont="1">
      <alignment vertical="center"/>
      <protection/>
    </xf>
    <xf numFmtId="0" fontId="15" fillId="0" borderId="0" xfId="127" applyFont="1">
      <alignment vertical="center"/>
      <protection/>
    </xf>
    <xf numFmtId="0" fontId="79" fillId="0" borderId="0" xfId="0" applyFont="1" applyFill="1" applyAlignment="1">
      <alignment horizontal="center" vertical="center"/>
    </xf>
    <xf numFmtId="0" fontId="15" fillId="0" borderId="0" xfId="127" applyFont="1" applyFill="1" applyBorder="1" applyAlignment="1" applyProtection="1">
      <alignment horizontal="center" vertical="center"/>
      <protection locked="0"/>
    </xf>
    <xf numFmtId="0" fontId="5" fillId="0" borderId="0" xfId="127" applyFont="1" applyFill="1" applyBorder="1" applyAlignment="1" applyProtection="1">
      <alignment vertical="center"/>
      <protection locked="0"/>
    </xf>
    <xf numFmtId="0" fontId="5" fillId="0" borderId="0" xfId="127" applyFont="1" applyFill="1" applyBorder="1" applyAlignment="1" applyProtection="1">
      <alignment horizontal="center" vertical="center"/>
      <protection locked="0"/>
    </xf>
    <xf numFmtId="0" fontId="11" fillId="0" borderId="29" xfId="127" applyFont="1" applyFill="1" applyBorder="1" applyAlignment="1" applyProtection="1">
      <alignment horizontal="center" vertical="center" textRotation="255" shrinkToFit="1"/>
      <protection locked="0"/>
    </xf>
    <xf numFmtId="0" fontId="11" fillId="0" borderId="1" xfId="127" applyFont="1" applyFill="1" applyBorder="1" applyAlignment="1" applyProtection="1">
      <alignment horizontal="center" vertical="center" shrinkToFit="1"/>
      <protection locked="0"/>
    </xf>
    <xf numFmtId="0" fontId="6" fillId="0" borderId="29" xfId="127" applyFont="1" applyFill="1" applyBorder="1" applyAlignment="1" applyProtection="1">
      <alignment horizontal="center" vertical="center" shrinkToFit="1"/>
      <protection locked="0"/>
    </xf>
    <xf numFmtId="0" fontId="6" fillId="0" borderId="30" xfId="127" applyFont="1" applyFill="1" applyBorder="1" applyAlignment="1" applyProtection="1">
      <alignment horizontal="center" vertical="center" shrinkToFit="1"/>
      <protection locked="0"/>
    </xf>
    <xf numFmtId="0" fontId="6" fillId="0" borderId="31" xfId="127" applyFont="1" applyFill="1" applyBorder="1" applyAlignment="1" applyProtection="1">
      <alignment horizontal="center" vertical="center" shrinkToFit="1"/>
      <protection locked="0"/>
    </xf>
    <xf numFmtId="0" fontId="11" fillId="0" borderId="32" xfId="127" applyFont="1" applyFill="1" applyBorder="1" applyAlignment="1" applyProtection="1">
      <alignment horizontal="center" vertical="center" textRotation="255" shrinkToFit="1"/>
      <protection locked="0"/>
    </xf>
    <xf numFmtId="0" fontId="6" fillId="0" borderId="32" xfId="127" applyFont="1" applyFill="1" applyBorder="1" applyAlignment="1" applyProtection="1">
      <alignment horizontal="center" vertical="center" shrinkToFit="1"/>
      <protection locked="0"/>
    </xf>
    <xf numFmtId="0" fontId="6" fillId="0" borderId="1" xfId="127" applyFont="1" applyFill="1" applyBorder="1" applyAlignment="1" applyProtection="1">
      <alignment horizontal="center" vertical="center" shrinkToFit="1"/>
      <protection locked="0"/>
    </xf>
    <xf numFmtId="0" fontId="78" fillId="0" borderId="1" xfId="127" applyFont="1" applyFill="1" applyBorder="1" applyAlignment="1" applyProtection="1">
      <alignment horizontal="center" vertical="center" shrinkToFit="1"/>
      <protection locked="0"/>
    </xf>
    <xf numFmtId="0" fontId="11" fillId="43" borderId="1" xfId="127" applyFont="1" applyFill="1" applyBorder="1" applyAlignment="1" applyProtection="1">
      <alignment horizontal="center" vertical="center" shrinkToFit="1"/>
      <protection locked="0"/>
    </xf>
    <xf numFmtId="190" fontId="6" fillId="0" borderId="1" xfId="127" applyNumberFormat="1" applyFont="1" applyFill="1" applyBorder="1" applyAlignment="1" applyProtection="1">
      <alignment horizontal="center" vertical="center" shrinkToFit="1"/>
      <protection locked="0"/>
    </xf>
    <xf numFmtId="0" fontId="80" fillId="23" borderId="30" xfId="127" applyFont="1" applyFill="1" applyBorder="1" applyAlignment="1" applyProtection="1">
      <alignment horizontal="center" vertical="center" shrinkToFit="1"/>
      <protection locked="0"/>
    </xf>
    <xf numFmtId="0" fontId="80" fillId="23" borderId="31" xfId="127" applyFont="1" applyFill="1" applyBorder="1" applyAlignment="1" applyProtection="1">
      <alignment horizontal="center" vertical="center" shrinkToFit="1"/>
      <protection locked="0"/>
    </xf>
    <xf numFmtId="0" fontId="80" fillId="23" borderId="33" xfId="127" applyFont="1" applyFill="1" applyBorder="1" applyAlignment="1" applyProtection="1">
      <alignment horizontal="center" vertical="center" shrinkToFit="1"/>
      <protection locked="0"/>
    </xf>
    <xf numFmtId="190" fontId="14" fillId="23" borderId="1" xfId="127" applyNumberFormat="1" applyFont="1" applyFill="1" applyBorder="1" applyAlignment="1" applyProtection="1">
      <alignment horizontal="center" vertical="center" shrinkToFit="1"/>
      <protection/>
    </xf>
    <xf numFmtId="0" fontId="11" fillId="44" borderId="1" xfId="127" applyFont="1" applyFill="1" applyBorder="1" applyAlignment="1" applyProtection="1">
      <alignment horizontal="center" vertical="center" shrinkToFit="1"/>
      <protection locked="0"/>
    </xf>
    <xf numFmtId="190" fontId="6" fillId="44" borderId="1" xfId="127" applyNumberFormat="1" applyFont="1" applyFill="1" applyBorder="1" applyAlignment="1" applyProtection="1">
      <alignment horizontal="center" vertical="center" shrinkToFit="1"/>
      <protection locked="0"/>
    </xf>
    <xf numFmtId="0" fontId="11" fillId="21" borderId="1" xfId="127" applyFont="1" applyFill="1" applyBorder="1" applyAlignment="1" applyProtection="1">
      <alignment horizontal="center" vertical="center" shrinkToFit="1"/>
      <protection locked="0"/>
    </xf>
    <xf numFmtId="0" fontId="11" fillId="44" borderId="30" xfId="127" applyFont="1" applyFill="1" applyBorder="1" applyAlignment="1" applyProtection="1">
      <alignment horizontal="center" vertical="center" shrinkToFit="1"/>
      <protection locked="0"/>
    </xf>
    <xf numFmtId="0" fontId="11" fillId="21" borderId="30" xfId="127" applyFont="1" applyFill="1" applyBorder="1" applyAlignment="1" applyProtection="1">
      <alignment horizontal="center" vertical="center" shrinkToFit="1"/>
      <protection locked="0"/>
    </xf>
    <xf numFmtId="0" fontId="17" fillId="23" borderId="30" xfId="127" applyFont="1" applyFill="1" applyBorder="1" applyAlignment="1" applyProtection="1">
      <alignment horizontal="center" vertical="center" shrinkToFit="1"/>
      <protection locked="0"/>
    </xf>
    <xf numFmtId="0" fontId="17" fillId="23" borderId="31" xfId="127" applyFont="1" applyFill="1" applyBorder="1" applyAlignment="1" applyProtection="1">
      <alignment horizontal="center" vertical="center" shrinkToFit="1"/>
      <protection locked="0"/>
    </xf>
    <xf numFmtId="0" fontId="17" fillId="23" borderId="33" xfId="127" applyFont="1" applyFill="1" applyBorder="1" applyAlignment="1" applyProtection="1">
      <alignment horizontal="center" vertical="center" shrinkToFit="1"/>
      <protection locked="0"/>
    </xf>
    <xf numFmtId="0" fontId="11" fillId="0" borderId="34" xfId="127" applyFont="1" applyFill="1" applyBorder="1" applyAlignment="1" applyProtection="1">
      <alignment horizontal="center" vertical="center" shrinkToFit="1"/>
      <protection locked="0"/>
    </xf>
    <xf numFmtId="0" fontId="11" fillId="8" borderId="30" xfId="127" applyFont="1" applyFill="1" applyBorder="1" applyAlignment="1" applyProtection="1">
      <alignment horizontal="center" vertical="center" shrinkToFit="1"/>
      <protection locked="0"/>
    </xf>
    <xf numFmtId="0" fontId="11" fillId="44" borderId="34" xfId="127" applyFont="1" applyFill="1" applyBorder="1" applyAlignment="1" applyProtection="1">
      <alignment horizontal="center" vertical="center" shrinkToFit="1"/>
      <protection locked="0"/>
    </xf>
    <xf numFmtId="0" fontId="11" fillId="8" borderId="1" xfId="127" applyFont="1" applyFill="1" applyBorder="1" applyAlignment="1" applyProtection="1">
      <alignment horizontal="center" vertical="center" shrinkToFit="1"/>
      <protection locked="0"/>
    </xf>
    <xf numFmtId="0" fontId="11" fillId="0" borderId="30" xfId="127" applyFont="1" applyFill="1" applyBorder="1" applyAlignment="1" applyProtection="1">
      <alignment horizontal="center" vertical="center" shrinkToFit="1"/>
      <protection locked="0"/>
    </xf>
    <xf numFmtId="0" fontId="11" fillId="43" borderId="30" xfId="127" applyFont="1" applyFill="1" applyBorder="1" applyAlignment="1" applyProtection="1">
      <alignment horizontal="center" vertical="center" shrinkToFit="1"/>
      <protection locked="0"/>
    </xf>
    <xf numFmtId="0" fontId="11" fillId="45" borderId="1" xfId="127" applyFont="1" applyFill="1" applyBorder="1" applyAlignment="1" applyProtection="1">
      <alignment horizontal="center" vertical="center" shrinkToFit="1"/>
      <protection locked="0"/>
    </xf>
    <xf numFmtId="0" fontId="11" fillId="0" borderId="33" xfId="127" applyFont="1" applyFill="1" applyBorder="1" applyAlignment="1" applyProtection="1">
      <alignment horizontal="center" vertical="center" shrinkToFit="1"/>
      <protection locked="0"/>
    </xf>
    <xf numFmtId="190" fontId="16" fillId="2" borderId="1" xfId="127" applyNumberFormat="1" applyFont="1" applyFill="1" applyBorder="1" applyAlignment="1" applyProtection="1">
      <alignment horizontal="center" vertical="center" shrinkToFit="1"/>
      <protection locked="0"/>
    </xf>
    <xf numFmtId="186" fontId="81" fillId="10" borderId="1" xfId="0" applyNumberFormat="1" applyFont="1" applyFill="1" applyBorder="1" applyAlignment="1" applyProtection="1">
      <alignment horizontal="right" vertical="center" shrinkToFit="1"/>
      <protection locked="0"/>
    </xf>
    <xf numFmtId="186" fontId="81" fillId="10" borderId="1" xfId="0" applyNumberFormat="1" applyFont="1" applyFill="1" applyBorder="1" applyAlignment="1" applyProtection="1">
      <alignment horizontal="right" vertical="center" shrinkToFit="1"/>
      <protection/>
    </xf>
    <xf numFmtId="186" fontId="81" fillId="23" borderId="1" xfId="0" applyNumberFormat="1" applyFont="1" applyFill="1" applyBorder="1" applyAlignment="1" applyProtection="1">
      <alignment horizontal="right" vertical="center" shrinkToFit="1"/>
      <protection/>
    </xf>
    <xf numFmtId="186" fontId="14" fillId="23" borderId="1" xfId="127" applyNumberFormat="1" applyFont="1" applyFill="1" applyBorder="1" applyAlignment="1" applyProtection="1">
      <alignment horizontal="right" vertical="center" shrinkToFit="1"/>
      <protection/>
    </xf>
    <xf numFmtId="190" fontId="16" fillId="44" borderId="1" xfId="127" applyNumberFormat="1" applyFont="1" applyFill="1" applyBorder="1" applyAlignment="1" applyProtection="1">
      <alignment horizontal="center" vertical="center" shrinkToFit="1"/>
      <protection locked="0"/>
    </xf>
    <xf numFmtId="190" fontId="82" fillId="2" borderId="1" xfId="127" applyNumberFormat="1" applyFont="1" applyFill="1" applyBorder="1" applyAlignment="1" applyProtection="1">
      <alignment horizontal="center" vertical="center" shrinkToFit="1"/>
      <protection locked="0"/>
    </xf>
    <xf numFmtId="186" fontId="83" fillId="23" borderId="1" xfId="0" applyNumberFormat="1" applyFont="1" applyFill="1" applyBorder="1" applyAlignment="1" applyProtection="1">
      <alignment horizontal="right" vertical="center" shrinkToFit="1"/>
      <protection/>
    </xf>
    <xf numFmtId="190" fontId="18" fillId="23" borderId="1" xfId="127" applyNumberFormat="1" applyFont="1" applyFill="1" applyBorder="1" applyAlignment="1" applyProtection="1">
      <alignment horizontal="center" vertical="center" shrinkToFit="1"/>
      <protection/>
    </xf>
    <xf numFmtId="0" fontId="6" fillId="0" borderId="33" xfId="127" applyFont="1" applyFill="1" applyBorder="1" applyAlignment="1" applyProtection="1">
      <alignment horizontal="center" vertical="center" shrinkToFit="1"/>
      <protection locked="0"/>
    </xf>
    <xf numFmtId="184" fontId="6" fillId="0" borderId="1" xfId="127" applyNumberFormat="1" applyFont="1" applyFill="1" applyBorder="1" applyAlignment="1" applyProtection="1">
      <alignment horizontal="right" vertical="center" shrinkToFit="1"/>
      <protection locked="0"/>
    </xf>
    <xf numFmtId="184" fontId="14" fillId="23" borderId="1" xfId="127" applyNumberFormat="1" applyFont="1" applyFill="1" applyBorder="1" applyAlignment="1" applyProtection="1">
      <alignment horizontal="right" vertical="center" shrinkToFit="1"/>
      <protection/>
    </xf>
    <xf numFmtId="184" fontId="83" fillId="23" borderId="1" xfId="0" applyNumberFormat="1" applyFont="1" applyFill="1" applyBorder="1" applyAlignment="1" applyProtection="1">
      <alignment horizontal="right" vertical="center" shrinkToFit="1"/>
      <protection/>
    </xf>
    <xf numFmtId="0" fontId="12" fillId="0" borderId="0" xfId="127" applyFont="1" applyFill="1" applyBorder="1" applyAlignment="1" applyProtection="1">
      <alignment vertical="center"/>
      <protection locked="0"/>
    </xf>
    <xf numFmtId="184" fontId="11" fillId="0" borderId="0" xfId="127" applyNumberFormat="1" applyFont="1" applyFill="1" applyBorder="1" applyAlignment="1" applyProtection="1">
      <alignment horizontal="right" vertical="center"/>
      <protection locked="0"/>
    </xf>
    <xf numFmtId="184" fontId="6" fillId="0" borderId="29" xfId="127" applyNumberFormat="1" applyFont="1" applyFill="1" applyBorder="1" applyAlignment="1" applyProtection="1">
      <alignment horizontal="center" vertical="center" shrinkToFit="1"/>
      <protection locked="0"/>
    </xf>
    <xf numFmtId="0" fontId="11" fillId="0" borderId="0" xfId="127" applyFont="1" applyFill="1" applyBorder="1" applyAlignment="1" applyProtection="1">
      <alignment horizontal="center" vertical="center" shrinkToFit="1"/>
      <protection locked="0"/>
    </xf>
    <xf numFmtId="43" fontId="11" fillId="0" borderId="0" xfId="127" applyNumberFormat="1" applyFont="1" applyFill="1" applyBorder="1" applyAlignment="1" applyProtection="1">
      <alignment horizontal="center" vertical="center" shrinkToFit="1"/>
      <protection locked="0"/>
    </xf>
    <xf numFmtId="186" fontId="11" fillId="0" borderId="0" xfId="127" applyNumberFormat="1" applyFont="1" applyFill="1" applyBorder="1" applyAlignment="1" applyProtection="1">
      <alignment horizontal="center" vertical="center" shrinkToFit="1"/>
      <protection locked="0"/>
    </xf>
    <xf numFmtId="184" fontId="6" fillId="0" borderId="32" xfId="127" applyNumberFormat="1" applyFont="1" applyFill="1" applyBorder="1" applyAlignment="1" applyProtection="1">
      <alignment horizontal="center" vertical="center" shrinkToFit="1"/>
      <protection locked="0"/>
    </xf>
    <xf numFmtId="190" fontId="11" fillId="0" borderId="0" xfId="127" applyNumberFormat="1" applyFont="1" applyFill="1" applyBorder="1" applyAlignment="1" applyProtection="1">
      <alignment horizontal="center" vertical="center" shrinkToFit="1"/>
      <protection locked="0"/>
    </xf>
    <xf numFmtId="189" fontId="17" fillId="0" borderId="0" xfId="127" applyNumberFormat="1" applyFont="1" applyFill="1" applyBorder="1" applyAlignment="1" applyProtection="1">
      <alignment horizontal="center" vertical="center" shrinkToFit="1"/>
      <protection locked="0"/>
    </xf>
    <xf numFmtId="0" fontId="17" fillId="0" borderId="0" xfId="127" applyFont="1" applyFill="1" applyBorder="1" applyAlignment="1" applyProtection="1">
      <alignment horizontal="center" vertical="center" shrinkToFit="1"/>
      <protection locked="0"/>
    </xf>
    <xf numFmtId="0" fontId="6" fillId="0" borderId="0" xfId="127" applyFont="1" applyFill="1" applyBorder="1" applyAlignment="1" applyProtection="1">
      <alignment horizontal="center" vertical="center"/>
      <protection locked="0"/>
    </xf>
    <xf numFmtId="0" fontId="6" fillId="0" borderId="0" xfId="127" applyFont="1" applyFill="1" applyAlignment="1" applyProtection="1">
      <alignment horizontal="center" vertical="center" shrinkToFit="1"/>
      <protection locked="0"/>
    </xf>
    <xf numFmtId="191" fontId="11" fillId="0" borderId="0" xfId="127" applyNumberFormat="1" applyFont="1" applyFill="1" applyBorder="1" applyAlignment="1" applyProtection="1">
      <alignment horizontal="center" vertical="center" shrinkToFit="1"/>
      <protection locked="0"/>
    </xf>
    <xf numFmtId="0" fontId="12" fillId="0" borderId="0" xfId="127" applyFill="1" applyBorder="1" applyAlignment="1" applyProtection="1">
      <alignment vertical="center"/>
      <protection locked="0"/>
    </xf>
    <xf numFmtId="189" fontId="11" fillId="0" borderId="0" xfId="127" applyNumberFormat="1" applyFont="1" applyFill="1" applyBorder="1" applyAlignment="1" applyProtection="1">
      <alignment horizontal="center" vertical="center" shrinkToFit="1"/>
      <protection locked="0"/>
    </xf>
    <xf numFmtId="0" fontId="6" fillId="0" borderId="0" xfId="127" applyFont="1" applyFill="1" applyBorder="1" applyAlignment="1" applyProtection="1">
      <alignment horizontal="center" vertical="center"/>
      <protection locked="0"/>
    </xf>
    <xf numFmtId="0" fontId="6" fillId="0" borderId="0" xfId="127" applyFont="1" applyFill="1" applyBorder="1" applyAlignment="1" applyProtection="1">
      <alignment horizontal="center" vertical="center" shrinkToFit="1"/>
      <protection locked="0"/>
    </xf>
    <xf numFmtId="0" fontId="14" fillId="0" borderId="0" xfId="127" applyFont="1" applyFill="1" applyBorder="1" applyAlignment="1" applyProtection="1">
      <alignment horizontal="center" vertical="center" shrinkToFit="1"/>
      <protection locked="0"/>
    </xf>
    <xf numFmtId="0" fontId="15" fillId="0" borderId="0" xfId="127" applyFont="1" applyFill="1" applyBorder="1" applyAlignment="1" applyProtection="1">
      <alignment vertical="center"/>
      <protection locked="0"/>
    </xf>
    <xf numFmtId="0" fontId="14" fillId="0" borderId="0" xfId="127" applyFont="1" applyFill="1" applyBorder="1" applyAlignment="1" applyProtection="1">
      <alignment horizontal="center" vertical="center"/>
      <protection locked="0"/>
    </xf>
    <xf numFmtId="192" fontId="6" fillId="0" borderId="1" xfId="127" applyNumberFormat="1" applyFont="1" applyFill="1" applyBorder="1" applyAlignment="1" applyProtection="1">
      <alignment horizontal="center" vertical="center" shrinkToFit="1"/>
      <protection locked="0"/>
    </xf>
    <xf numFmtId="190" fontId="81" fillId="0" borderId="1" xfId="127" applyNumberFormat="1" applyFont="1" applyFill="1" applyBorder="1" applyAlignment="1" applyProtection="1">
      <alignment horizontal="center" vertical="center" shrinkToFit="1"/>
      <protection locked="0"/>
    </xf>
    <xf numFmtId="186" fontId="81" fillId="0" borderId="1" xfId="0" applyNumberFormat="1" applyFont="1" applyFill="1" applyBorder="1" applyAlignment="1" applyProtection="1">
      <alignment horizontal="right" vertical="center" shrinkToFit="1"/>
      <protection/>
    </xf>
    <xf numFmtId="190" fontId="81" fillId="0" borderId="1" xfId="0" applyNumberFormat="1" applyFont="1" applyFill="1" applyBorder="1" applyAlignment="1" applyProtection="1">
      <alignment horizontal="right" vertical="center"/>
      <protection/>
    </xf>
    <xf numFmtId="191" fontId="6" fillId="0" borderId="1" xfId="127" applyNumberFormat="1" applyFont="1" applyFill="1" applyBorder="1" applyAlignment="1" applyProtection="1">
      <alignment horizontal="right" vertical="center" shrinkToFit="1"/>
      <protection/>
    </xf>
    <xf numFmtId="191" fontId="6" fillId="0" borderId="1" xfId="127" applyNumberFormat="1" applyFont="1" applyFill="1" applyBorder="1" applyAlignment="1" applyProtection="1">
      <alignment horizontal="right" vertical="center" shrinkToFit="1"/>
      <protection locked="0"/>
    </xf>
    <xf numFmtId="184" fontId="6" fillId="0" borderId="1" xfId="127" applyNumberFormat="1" applyFont="1" applyFill="1" applyBorder="1" applyAlignment="1" applyProtection="1">
      <alignment horizontal="right" vertical="center" shrinkToFit="1"/>
      <protection/>
    </xf>
    <xf numFmtId="0" fontId="11" fillId="0" borderId="31" xfId="127" applyFont="1" applyFill="1" applyBorder="1" applyAlignment="1" applyProtection="1">
      <alignment horizontal="center" vertical="center" shrinkToFit="1"/>
      <protection locked="0"/>
    </xf>
    <xf numFmtId="0" fontId="11" fillId="0" borderId="0" xfId="127" applyFont="1" applyFill="1" applyBorder="1" applyAlignment="1" applyProtection="1">
      <alignment horizontal="center" vertical="center" shrinkToFit="1"/>
      <protection locked="0"/>
    </xf>
    <xf numFmtId="190" fontId="6" fillId="0" borderId="0" xfId="127" applyNumberFormat="1" applyFont="1" applyFill="1" applyBorder="1" applyAlignment="1" applyProtection="1">
      <alignment horizontal="center" vertical="center" shrinkToFit="1"/>
      <protection locked="0"/>
    </xf>
    <xf numFmtId="0" fontId="11" fillId="0" borderId="0" xfId="127" applyFont="1" applyFill="1" applyAlignment="1" applyProtection="1">
      <alignment horizontal="center" vertical="center" shrinkToFit="1"/>
      <protection locked="0"/>
    </xf>
    <xf numFmtId="0" fontId="14" fillId="0" borderId="0" xfId="127" applyFont="1" applyFill="1" applyBorder="1" applyAlignment="1" applyProtection="1">
      <alignment vertical="center"/>
      <protection locked="0"/>
    </xf>
    <xf numFmtId="190" fontId="6" fillId="0" borderId="1" xfId="127" applyNumberFormat="1" applyFont="1" applyFill="1" applyBorder="1" applyAlignment="1" applyProtection="1">
      <alignment horizontal="center" vertical="center" shrinkToFit="1"/>
      <protection/>
    </xf>
    <xf numFmtId="191" fontId="14" fillId="0" borderId="0" xfId="127" applyNumberFormat="1" applyFont="1" applyFill="1" applyBorder="1" applyAlignment="1" applyProtection="1">
      <alignment horizontal="center" vertical="center" shrinkToFit="1"/>
      <protection locked="0"/>
    </xf>
    <xf numFmtId="189" fontId="14" fillId="0" borderId="0" xfId="127" applyNumberFormat="1" applyFont="1" applyFill="1" applyBorder="1" applyAlignment="1" applyProtection="1">
      <alignment vertical="center"/>
      <protection locked="0"/>
    </xf>
    <xf numFmtId="186" fontId="81" fillId="0" borderId="1" xfId="0" applyNumberFormat="1" applyFont="1" applyFill="1" applyBorder="1" applyAlignment="1" applyProtection="1">
      <alignment horizontal="right" vertical="center" shrinkToFit="1"/>
      <protection locked="0"/>
    </xf>
    <xf numFmtId="43" fontId="5" fillId="0" borderId="0" xfId="127" applyNumberFormat="1" applyFont="1" applyFill="1" applyBorder="1" applyAlignment="1" applyProtection="1">
      <alignment vertical="center"/>
      <protection locked="0"/>
    </xf>
    <xf numFmtId="191" fontId="6" fillId="0" borderId="0" xfId="127" applyNumberFormat="1" applyFont="1" applyFill="1" applyBorder="1" applyAlignment="1" applyProtection="1">
      <alignment vertical="center"/>
      <protection locked="0"/>
    </xf>
    <xf numFmtId="43" fontId="19" fillId="0" borderId="0" xfId="127" applyNumberFormat="1" applyFont="1" applyFill="1" applyBorder="1" applyAlignment="1" applyProtection="1">
      <alignment vertical="center"/>
      <protection locked="0"/>
    </xf>
    <xf numFmtId="191" fontId="15" fillId="0" borderId="0" xfId="127" applyNumberFormat="1" applyFont="1" applyFill="1" applyBorder="1" applyAlignment="1" applyProtection="1">
      <alignment vertical="center"/>
      <protection locked="0"/>
    </xf>
    <xf numFmtId="190" fontId="12" fillId="0" borderId="0" xfId="127" applyNumberFormat="1" applyFill="1" applyBorder="1" applyAlignment="1" applyProtection="1">
      <alignment vertical="center"/>
      <protection locked="0"/>
    </xf>
    <xf numFmtId="184" fontId="14" fillId="0" borderId="0" xfId="127" applyNumberFormat="1" applyFont="1" applyFill="1" applyBorder="1" applyAlignment="1" applyProtection="1">
      <alignment horizontal="right" vertical="center"/>
      <protection locked="0"/>
    </xf>
    <xf numFmtId="184" fontId="17" fillId="0" borderId="0" xfId="127" applyNumberFormat="1" applyFont="1" applyFill="1" applyBorder="1" applyAlignment="1" applyProtection="1">
      <alignment horizontal="right" vertical="center"/>
      <protection locked="0"/>
    </xf>
    <xf numFmtId="190" fontId="15" fillId="0" borderId="0" xfId="127" applyNumberFormat="1" applyFont="1" applyFill="1" applyBorder="1" applyAlignment="1" applyProtection="1">
      <alignment vertical="center"/>
      <protection locked="0"/>
    </xf>
    <xf numFmtId="0" fontId="12" fillId="0" borderId="0" xfId="127" applyFill="1" applyBorder="1" applyAlignment="1" applyProtection="1">
      <alignment horizontal="center" vertical="center"/>
      <protection locked="0"/>
    </xf>
    <xf numFmtId="43" fontId="12" fillId="0" borderId="0" xfId="127" applyNumberFormat="1" applyFill="1" applyBorder="1" applyAlignment="1" applyProtection="1">
      <alignment vertical="center"/>
      <protection locked="0"/>
    </xf>
    <xf numFmtId="0" fontId="84" fillId="0" borderId="0" xfId="127" applyFont="1" applyFill="1" applyBorder="1" applyAlignment="1" applyProtection="1">
      <alignment vertical="center"/>
      <protection locked="0"/>
    </xf>
    <xf numFmtId="190" fontId="5" fillId="0" borderId="0" xfId="127" applyNumberFormat="1" applyFont="1" applyFill="1" applyBorder="1" applyAlignment="1" applyProtection="1">
      <alignment vertical="center"/>
      <protection locked="0"/>
    </xf>
    <xf numFmtId="9" fontId="5" fillId="0" borderId="0" xfId="28" applyNumberFormat="1" applyFont="1" applyFill="1" applyBorder="1" applyAlignment="1" applyProtection="1">
      <alignment vertical="center"/>
      <protection locked="0"/>
    </xf>
    <xf numFmtId="190" fontId="5" fillId="0" borderId="0" xfId="127" applyNumberFormat="1" applyFont="1" applyFill="1" applyBorder="1" applyAlignment="1" applyProtection="1">
      <alignment horizontal="right" vertical="center"/>
      <protection locked="0"/>
    </xf>
    <xf numFmtId="189" fontId="56" fillId="0" borderId="0" xfId="0" applyNumberFormat="1" applyFont="1" applyFill="1" applyAlignment="1">
      <alignment vertical="center"/>
    </xf>
    <xf numFmtId="0" fontId="85" fillId="0" borderId="0" xfId="0" applyFont="1" applyFill="1" applyBorder="1" applyAlignment="1" applyProtection="1">
      <alignment vertical="center"/>
      <protection locked="0"/>
    </xf>
    <xf numFmtId="0" fontId="86" fillId="0" borderId="0" xfId="0" applyFont="1" applyFill="1" applyBorder="1" applyAlignment="1" applyProtection="1">
      <alignment vertical="center"/>
      <protection locked="0"/>
    </xf>
    <xf numFmtId="193" fontId="12" fillId="0" borderId="0" xfId="127" applyNumberFormat="1" applyFill="1" applyBorder="1" applyAlignment="1" applyProtection="1">
      <alignment vertical="center"/>
      <protection locked="0"/>
    </xf>
    <xf numFmtId="184" fontId="12" fillId="0" borderId="0" xfId="127" applyNumberFormat="1" applyFill="1" applyBorder="1" applyAlignment="1" applyProtection="1">
      <alignment vertical="center"/>
      <protection locked="0"/>
    </xf>
    <xf numFmtId="193" fontId="6" fillId="0" borderId="0" xfId="127" applyNumberFormat="1" applyFont="1" applyFill="1" applyBorder="1" applyAlignment="1" applyProtection="1">
      <alignment vertical="center"/>
      <protection locked="0"/>
    </xf>
    <xf numFmtId="184" fontId="6" fillId="0" borderId="0" xfId="127" applyNumberFormat="1" applyFont="1" applyFill="1" applyBorder="1" applyAlignment="1" applyProtection="1">
      <alignment vertical="center"/>
      <protection locked="0"/>
    </xf>
    <xf numFmtId="189" fontId="6" fillId="0" borderId="0" xfId="127" applyNumberFormat="1" applyFont="1" applyFill="1" applyBorder="1" applyAlignment="1" applyProtection="1">
      <alignment vertical="center"/>
      <protection locked="0"/>
    </xf>
    <xf numFmtId="0" fontId="6" fillId="0" borderId="0" xfId="127" applyFont="1" applyFill="1" applyBorder="1" applyAlignment="1" applyProtection="1">
      <alignment vertical="center"/>
      <protection locked="0"/>
    </xf>
    <xf numFmtId="9" fontId="12" fillId="0" borderId="0" xfId="127" applyNumberFormat="1" applyFill="1" applyBorder="1" applyAlignment="1" applyProtection="1">
      <alignment vertical="center"/>
      <protection locked="0"/>
    </xf>
    <xf numFmtId="189" fontId="12" fillId="0" borderId="0" xfId="127" applyNumberFormat="1" applyFill="1" applyBorder="1" applyAlignment="1" applyProtection="1">
      <alignment vertical="center"/>
      <protection locked="0"/>
    </xf>
    <xf numFmtId="194" fontId="12" fillId="0" borderId="0" xfId="127" applyNumberFormat="1" applyFill="1" applyBorder="1" applyAlignment="1" applyProtection="1">
      <alignment vertical="center"/>
      <protection locked="0"/>
    </xf>
    <xf numFmtId="189" fontId="12" fillId="0" borderId="0" xfId="127" applyNumberFormat="1" applyFont="1" applyFill="1" applyBorder="1" applyAlignment="1" applyProtection="1">
      <alignment vertical="center"/>
      <protection locked="0"/>
    </xf>
    <xf numFmtId="189" fontId="5" fillId="0" borderId="0" xfId="127" applyNumberFormat="1" applyFont="1" applyFill="1" applyBorder="1" applyAlignment="1" applyProtection="1">
      <alignment vertical="center"/>
      <protection locked="0"/>
    </xf>
    <xf numFmtId="0" fontId="81" fillId="0" borderId="0" xfId="127" applyFont="1" applyFill="1" applyBorder="1" applyAlignment="1" applyProtection="1">
      <alignment vertical="center"/>
      <protection locked="0"/>
    </xf>
    <xf numFmtId="184" fontId="6" fillId="0" borderId="0" xfId="127" applyNumberFormat="1" applyFont="1" applyFill="1" applyBorder="1" applyAlignment="1" applyProtection="1">
      <alignment horizontal="right" vertical="center"/>
      <protection locked="0"/>
    </xf>
    <xf numFmtId="184" fontId="5" fillId="0" borderId="0" xfId="127" applyNumberFormat="1" applyFont="1" applyFill="1" applyBorder="1" applyAlignment="1" applyProtection="1">
      <alignment horizontal="right" vertical="center"/>
      <protection locked="0"/>
    </xf>
    <xf numFmtId="191" fontId="5" fillId="0" borderId="0" xfId="127" applyNumberFormat="1" applyFont="1" applyFill="1" applyBorder="1" applyAlignment="1" applyProtection="1">
      <alignment vertical="center"/>
      <protection locked="0"/>
    </xf>
    <xf numFmtId="0" fontId="56" fillId="0" borderId="0" xfId="0" applyFont="1" applyFill="1" applyAlignment="1">
      <alignment vertical="center" wrapText="1"/>
    </xf>
  </cellXfs>
  <cellStyles count="174">
    <cellStyle name="Normal" xfId="0"/>
    <cellStyle name="Input [yellow]" xfId="15"/>
    <cellStyle name="Currency [0]" xfId="16"/>
    <cellStyle name="输入" xfId="17"/>
    <cellStyle name="好_2013年开发区财政预算表(20130125定稿)_上报2014年预算调整附表（上报）" xfId="18"/>
    <cellStyle name="20% - 强调文字颜色 3" xfId="19"/>
    <cellStyle name="Currency" xfId="20"/>
    <cellStyle name="Comma [0]" xfId="21"/>
    <cellStyle name="40% - 强调文字颜色 3" xfId="22"/>
    <cellStyle name="差" xfId="23"/>
    <cellStyle name="Comma" xfId="24"/>
    <cellStyle name="60% - 强调文字颜色 3" xfId="25"/>
    <cellStyle name="Hyperlink" xfId="26"/>
    <cellStyle name="Currency [0]_353HHC" xfId="27"/>
    <cellStyle name="Percent" xfId="28"/>
    <cellStyle name="RowLevel_0" xfId="29"/>
    <cellStyle name="Followed Hyperlink" xfId="30"/>
    <cellStyle name="差_Book1 2" xfId="31"/>
    <cellStyle name="注释" xfId="32"/>
    <cellStyle name="常规 6" xfId="33"/>
    <cellStyle name="60% - 强调文字颜色 2" xfId="34"/>
    <cellStyle name="好_经发处经费 3" xfId="35"/>
    <cellStyle name="警告文本" xfId="36"/>
    <cellStyle name="好_Book1 3" xfId="37"/>
    <cellStyle name="标题 4" xfId="38"/>
    <cellStyle name="_ET_STYLE_NoName_00_" xfId="39"/>
    <cellStyle name="标题" xfId="40"/>
    <cellStyle name="解释性文本" xfId="41"/>
    <cellStyle name="标题 1" xfId="42"/>
    <cellStyle name="百分比 4" xfId="43"/>
    <cellStyle name="标题 2" xfId="44"/>
    <cellStyle name="百分比 5" xfId="45"/>
    <cellStyle name="Input [yellow] 2" xfId="46"/>
    <cellStyle name="60% - 强调文字颜色 1" xfId="47"/>
    <cellStyle name="好_经发处经费 2" xfId="48"/>
    <cellStyle name="标题 3" xfId="49"/>
    <cellStyle name="60% - 强调文字颜色 4" xfId="50"/>
    <cellStyle name="输出" xfId="51"/>
    <cellStyle name="计算" xfId="52"/>
    <cellStyle name="检查单元格" xfId="53"/>
    <cellStyle name="20% - 强调文字颜色 6" xfId="54"/>
    <cellStyle name="强调文字颜色 2" xfId="55"/>
    <cellStyle name="链接单元格" xfId="56"/>
    <cellStyle name="汇总" xfId="57"/>
    <cellStyle name="好" xfId="58"/>
    <cellStyle name="0000/00" xfId="59"/>
    <cellStyle name="适中" xfId="60"/>
    <cellStyle name="20% - 强调文字颜色 5" xfId="61"/>
    <cellStyle name="强调文字颜色 1" xfId="62"/>
    <cellStyle name="20% - 强调文字颜色 1" xfId="63"/>
    <cellStyle name="40% - 强调文字颜色 1" xfId="64"/>
    <cellStyle name="Percent [2]"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40% - 强调文字颜色 6" xfId="78"/>
    <cellStyle name="60% - 强调文字颜色 6" xfId="79"/>
    <cellStyle name="Normal_0105第二套审计报表定稿" xfId="80"/>
    <cellStyle name="&#10;shell=progma" xfId="81"/>
    <cellStyle name="0000/00 2" xfId="82"/>
    <cellStyle name="烹拳 [0]_97MBO" xfId="83"/>
    <cellStyle name="ColLevel_0" xfId="84"/>
    <cellStyle name="Comma_laroux" xfId="85"/>
    <cellStyle name="Comma [0]_laroux" xfId="86"/>
    <cellStyle name="Currency_353HHC" xfId="87"/>
    <cellStyle name="Grey" xfId="88"/>
    <cellStyle name="Normal - Style1" xfId="89"/>
    <cellStyle name="百分比 2" xfId="90"/>
    <cellStyle name="百分比 3" xfId="91"/>
    <cellStyle name="差_2013年计划表" xfId="92"/>
    <cellStyle name="差_2013年计划表 2" xfId="93"/>
    <cellStyle name="差_2013年计划表 3" xfId="94"/>
    <cellStyle name="差_2013年计划表_上报2014年预算调整附表（上报）" xfId="95"/>
    <cellStyle name="差_2013年开发区财政预算表(20130125定稿)" xfId="96"/>
    <cellStyle name="差_2013年开发区财政预算表(20130125定稿) 2" xfId="97"/>
    <cellStyle name="差_2013年开发区财政预算表(20130125定稿) 3" xfId="98"/>
    <cellStyle name="差_2013年开发区财政预算表(20130125定稿)_上报2014年预算调整附表（上报）" xfId="99"/>
    <cellStyle name="差_2013年农场计划表（发改用）" xfId="100"/>
    <cellStyle name="差_2013年农场计划表（发改用） 2" xfId="101"/>
    <cellStyle name="差_2013年农场计划表（发改用） 3" xfId="102"/>
    <cellStyle name="常规 2 2 2" xfId="103"/>
    <cellStyle name="差_2013年农场计划表（发改用）_上报2014年预算调整附表（上报）" xfId="104"/>
    <cellStyle name="差_52保亭所" xfId="105"/>
    <cellStyle name="差_52保亭所 2" xfId="106"/>
    <cellStyle name="差_52保亭所 3" xfId="107"/>
    <cellStyle name="差_52保亭所_上报2014年预算调整附表（上报）" xfId="108"/>
    <cellStyle name="差_Book1" xfId="109"/>
    <cellStyle name="差_Book1 3" xfId="110"/>
    <cellStyle name="差_Book1_上报2014年预算调整附表（上报）" xfId="111"/>
    <cellStyle name="差_经发处经费" xfId="112"/>
    <cellStyle name="差_经发处经费 2" xfId="113"/>
    <cellStyle name="差_经发处经费 3" xfId="114"/>
    <cellStyle name="差_经发处经费_上报2014年预算调整附表（上报）" xfId="115"/>
    <cellStyle name="差_上报2014年预算调整附表（上报）" xfId="116"/>
    <cellStyle name="常规 10" xfId="117"/>
    <cellStyle name="常规 10 2" xfId="118"/>
    <cellStyle name="常规 10 3" xfId="119"/>
    <cellStyle name="常规 11" xfId="120"/>
    <cellStyle name="常规 11 2" xfId="121"/>
    <cellStyle name="常规 12" xfId="122"/>
    <cellStyle name="常规 13" xfId="123"/>
    <cellStyle name="常规 13 2" xfId="124"/>
    <cellStyle name="常规 14" xfId="125"/>
    <cellStyle name="常规 2" xfId="126"/>
    <cellStyle name="常规 2 2" xfId="127"/>
    <cellStyle name="常规 2 2 3" xfId="128"/>
    <cellStyle name="常规 2 3" xfId="129"/>
    <cellStyle name="钎霖_laroux" xfId="130"/>
    <cellStyle name="常规 2 4" xfId="131"/>
    <cellStyle name="常规 2 5" xfId="132"/>
    <cellStyle name="常规 3" xfId="133"/>
    <cellStyle name="常规 3 2" xfId="134"/>
    <cellStyle name="常规 3 2 2" xfId="135"/>
    <cellStyle name="常规 3 2 3" xfId="136"/>
    <cellStyle name="常规 3 3" xfId="137"/>
    <cellStyle name="常规 3 4" xfId="138"/>
    <cellStyle name="常规 4" xfId="139"/>
    <cellStyle name="常规_4现金流量表" xfId="140"/>
    <cellStyle name="常规 4 2" xfId="141"/>
    <cellStyle name="常规 4 3" xfId="142"/>
    <cellStyle name="好_Book1" xfId="143"/>
    <cellStyle name="常规 4 4" xfId="144"/>
    <cellStyle name="常规 5" xfId="145"/>
    <cellStyle name="常规 7" xfId="146"/>
    <cellStyle name="常规 7 2" xfId="147"/>
    <cellStyle name="常规 8" xfId="148"/>
    <cellStyle name="常规 9" xfId="149"/>
    <cellStyle name="超级链接_农场合同查阅目录" xfId="150"/>
    <cellStyle name="都寞_桸啎1-2" xfId="151"/>
    <cellStyle name="好_2013年农场计划表（发改用） 3" xfId="152"/>
    <cellStyle name="好_2013年开发区财政预算表(20130125定稿)" xfId="153"/>
    <cellStyle name="好_2013年开发区财政预算表(20130125定稿) 2" xfId="154"/>
    <cellStyle name="好_2013年开发区财政预算表(20130125定稿) 3" xfId="155"/>
    <cellStyle name="好_2013年农场计划表（发改用）" xfId="156"/>
    <cellStyle name="好_2013年农场计划表（发改用） 2" xfId="157"/>
    <cellStyle name="好_2013年农场计划表（发改用）_上报2014年预算调整附表（上报）" xfId="158"/>
    <cellStyle name="好_52保亭所" xfId="159"/>
    <cellStyle name="好_52保亭所 2" xfId="160"/>
    <cellStyle name="好_52保亭所 3" xfId="161"/>
    <cellStyle name="好_52保亭所_上报2014年预算调整附表（上报）" xfId="162"/>
    <cellStyle name="好_Book1 2" xfId="163"/>
    <cellStyle name="好_Book1_上报2014年预算调整附表（上报）" xfId="164"/>
    <cellStyle name="好_经发处经费" xfId="165"/>
    <cellStyle name="好_经发处经费_上报2014年预算调整附表（上报）" xfId="166"/>
    <cellStyle name="好_上报2014年预算调整附表（上报）" xfId="167"/>
    <cellStyle name="货币 2" xfId="168"/>
    <cellStyle name="霓付 [0]_97MBO" xfId="169"/>
    <cellStyle name="霓付_97MBO" xfId="170"/>
    <cellStyle name="烹拳_97MBO" xfId="171"/>
    <cellStyle name="普通_ 白土" xfId="172"/>
    <cellStyle name="千分位[0]_ 白土" xfId="173"/>
    <cellStyle name="千分位_ 白土" xfId="174"/>
    <cellStyle name="千位[0]_laroux" xfId="175"/>
    <cellStyle name="千位_laroux" xfId="176"/>
    <cellStyle name="千位分隔 2" xfId="177"/>
    <cellStyle name="千位分隔 3" xfId="178"/>
    <cellStyle name="千位分隔 4" xfId="179"/>
    <cellStyle name="千位分隔 5" xfId="180"/>
    <cellStyle name="千位分隔 6" xfId="181"/>
    <cellStyle name="样式 1" xfId="182"/>
    <cellStyle name="콤마 [0]_BOILER-CO1" xfId="183"/>
    <cellStyle name="콤마_BOILER-CO1" xfId="184"/>
    <cellStyle name="통화 [0]_BOILER-CO1" xfId="185"/>
    <cellStyle name="통화_BOILER-CO1" xfId="186"/>
    <cellStyle name="표준_0N-HANDLING " xfId="187"/>
  </cellStyle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0840;&#38754;&#39044;&#31639;&#31649;&#29702;\&#20840;&#38754;&#39044;&#31639;&#31649;&#29702;\&#19977;&#27743;&#21457;&#25511;\2021&#24180;&#31649;&#29702;&#36153;&#29992;&#39044;&#31639;(&#26412;&#370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 (2020)"/>
      <sheetName val="汇总（2021）"/>
      <sheetName val="场领导"/>
      <sheetName val="党综办"/>
      <sheetName val="监察室"/>
      <sheetName val="人力部"/>
      <sheetName val="财务部"/>
      <sheetName val="资产部"/>
      <sheetName val="投发部"/>
      <sheetName val="工程部"/>
      <sheetName val="公共部门"/>
      <sheetName val="方案1.1"/>
      <sheetName val="执行数"/>
      <sheetName val="5)固定资产及无形资产预算表"/>
      <sheetName val="经营预算"/>
      <sheetName val="3固定资产投资"/>
      <sheetName val="离岗"/>
      <sheetName val="主要指标预报表"/>
      <sheetName val="主要指标预报表 (农场)"/>
      <sheetName val="Sheet1 (2)"/>
      <sheetName val="工会"/>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BI269"/>
  <sheetViews>
    <sheetView zoomScale="90" zoomScaleNormal="90" workbookViewId="0" topLeftCell="A1">
      <pane xSplit="5" ySplit="4" topLeftCell="F175" activePane="bottomRight" state="frozen"/>
      <selection pane="bottomRight" activeCell="O175" sqref="O175"/>
    </sheetView>
  </sheetViews>
  <sheetFormatPr defaultColWidth="10.28125" defaultRowHeight="12.75"/>
  <cols>
    <col min="1" max="1" width="4.140625" style="178" customWidth="1"/>
    <col min="2" max="2" width="7.28125" style="178" hidden="1" customWidth="1"/>
    <col min="3" max="3" width="8.28125" style="178" customWidth="1"/>
    <col min="4" max="4" width="8.7109375" style="178" customWidth="1"/>
    <col min="5" max="5" width="10.28125" style="178" customWidth="1"/>
    <col min="6" max="6" width="10.28125" style="178" hidden="1" customWidth="1"/>
    <col min="7" max="7" width="9.57421875" style="178" customWidth="1"/>
    <col min="8" max="8" width="9.421875" style="178" customWidth="1"/>
    <col min="9" max="9" width="7.7109375" style="178" customWidth="1"/>
    <col min="10" max="10" width="10.8515625" style="178" bestFit="1" customWidth="1"/>
    <col min="11" max="11" width="10.28125" style="178" hidden="1" customWidth="1"/>
    <col min="12" max="12" width="12.140625" style="178" bestFit="1" customWidth="1"/>
    <col min="13" max="14" width="10.28125" style="178" customWidth="1"/>
    <col min="15" max="15" width="10.7109375" style="178" bestFit="1" customWidth="1"/>
    <col min="16" max="18" width="10.28125" style="178" customWidth="1"/>
    <col min="19" max="19" width="10.28125" style="178" hidden="1" customWidth="1"/>
    <col min="20" max="20" width="10.28125" style="178" customWidth="1"/>
    <col min="21" max="22" width="14.57421875" style="178" bestFit="1" customWidth="1"/>
    <col min="23" max="23" width="11.28125" style="178" customWidth="1"/>
    <col min="24" max="24" width="10.28125" style="178" customWidth="1"/>
    <col min="25" max="25" width="12.57421875" style="178" customWidth="1"/>
    <col min="26" max="26" width="12.140625" style="178" customWidth="1"/>
    <col min="27" max="35" width="10.28125" style="178" hidden="1" customWidth="1"/>
    <col min="36" max="36" width="10.28125" style="178" customWidth="1"/>
    <col min="37" max="37" width="10.57421875" style="181" customWidth="1"/>
    <col min="38" max="39" width="10.7109375" style="178" bestFit="1" customWidth="1"/>
    <col min="40" max="40" width="12.140625" style="178" customWidth="1"/>
    <col min="41" max="16384" width="10.28125" style="178" customWidth="1"/>
  </cols>
  <sheetData>
    <row r="1" spans="1:40" s="174" customFormat="1" ht="14.25">
      <c r="A1" s="182"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229"/>
      <c r="AB1" s="229"/>
      <c r="AC1" s="229"/>
      <c r="AD1" s="229"/>
      <c r="AE1" s="229"/>
      <c r="AF1" s="229"/>
      <c r="AG1" s="229"/>
      <c r="AH1" s="229"/>
      <c r="AI1" s="229"/>
      <c r="AJ1" s="229"/>
      <c r="AK1" s="239"/>
      <c r="AL1" s="178"/>
      <c r="AM1" s="178"/>
      <c r="AN1" s="178"/>
    </row>
    <row r="2" spans="1:40" s="175" customFormat="1" ht="13.5">
      <c r="A2" s="183" t="s">
        <v>1</v>
      </c>
      <c r="B2" s="184"/>
      <c r="C2" s="184"/>
      <c r="D2" s="184"/>
      <c r="E2" s="183"/>
      <c r="F2" s="183"/>
      <c r="G2" s="183"/>
      <c r="H2" s="183"/>
      <c r="I2" s="183"/>
      <c r="J2" s="183"/>
      <c r="K2" s="183"/>
      <c r="L2" s="183"/>
      <c r="M2" s="183"/>
      <c r="N2" s="183"/>
      <c r="O2" s="183"/>
      <c r="P2" s="183"/>
      <c r="Q2" s="183"/>
      <c r="R2" s="183"/>
      <c r="S2" s="183"/>
      <c r="T2" s="183"/>
      <c r="U2" s="183"/>
      <c r="V2" s="183"/>
      <c r="W2" s="183"/>
      <c r="X2" s="183"/>
      <c r="Y2" s="183"/>
      <c r="Z2" s="230"/>
      <c r="AA2" s="183"/>
      <c r="AB2" s="183"/>
      <c r="AC2" s="183"/>
      <c r="AD2" s="183"/>
      <c r="AE2" s="183"/>
      <c r="AF2" s="183"/>
      <c r="AG2" s="183"/>
      <c r="AH2" s="183"/>
      <c r="AI2" s="183"/>
      <c r="AJ2" s="183"/>
      <c r="AK2" s="239"/>
      <c r="AL2" s="178"/>
      <c r="AM2" s="178"/>
      <c r="AN2" s="178"/>
    </row>
    <row r="3" spans="1:40" s="176" customFormat="1" ht="13.5">
      <c r="A3" s="185" t="s">
        <v>2</v>
      </c>
      <c r="B3" s="186" t="s">
        <v>3</v>
      </c>
      <c r="C3" s="187" t="s">
        <v>4</v>
      </c>
      <c r="D3" s="187" t="s">
        <v>5</v>
      </c>
      <c r="E3" s="187" t="s">
        <v>6</v>
      </c>
      <c r="F3" s="187" t="s">
        <v>7</v>
      </c>
      <c r="G3" s="188" t="s">
        <v>8</v>
      </c>
      <c r="H3" s="189"/>
      <c r="I3" s="192"/>
      <c r="J3" s="192" t="s">
        <v>9</v>
      </c>
      <c r="K3" s="192"/>
      <c r="L3" s="192"/>
      <c r="M3" s="187" t="s">
        <v>10</v>
      </c>
      <c r="N3" s="187" t="s">
        <v>11</v>
      </c>
      <c r="O3" s="188" t="s">
        <v>12</v>
      </c>
      <c r="P3" s="189"/>
      <c r="Q3" s="189"/>
      <c r="R3" s="189"/>
      <c r="S3" s="189"/>
      <c r="T3" s="225"/>
      <c r="U3" s="187" t="s">
        <v>13</v>
      </c>
      <c r="V3" s="187" t="s">
        <v>14</v>
      </c>
      <c r="W3" s="187" t="s">
        <v>15</v>
      </c>
      <c r="X3" s="187" t="s">
        <v>16</v>
      </c>
      <c r="Y3" s="187" t="s">
        <v>17</v>
      </c>
      <c r="Z3" s="231" t="s">
        <v>18</v>
      </c>
      <c r="AA3" s="232"/>
      <c r="AB3" s="232"/>
      <c r="AC3" s="232"/>
      <c r="AD3" s="232">
        <f>M76*12</f>
        <v>3710472</v>
      </c>
      <c r="AE3" s="233">
        <f>W76*12</f>
        <v>4246296.24</v>
      </c>
      <c r="AF3" s="234">
        <f>Z76</f>
        <v>8774498.8728</v>
      </c>
      <c r="AG3" s="232"/>
      <c r="AH3" s="232"/>
      <c r="AI3" s="232"/>
      <c r="AJ3" s="232"/>
      <c r="AK3" s="240" t="s">
        <v>19</v>
      </c>
      <c r="AL3" s="178"/>
      <c r="AM3" s="178"/>
      <c r="AN3" s="178"/>
    </row>
    <row r="4" spans="1:40" s="176" customFormat="1" ht="13.5">
      <c r="A4" s="190"/>
      <c r="B4" s="186"/>
      <c r="C4" s="191"/>
      <c r="D4" s="191"/>
      <c r="E4" s="191"/>
      <c r="F4" s="191"/>
      <c r="G4" s="192" t="s">
        <v>20</v>
      </c>
      <c r="H4" s="192" t="s">
        <v>21</v>
      </c>
      <c r="I4" s="192" t="s">
        <v>22</v>
      </c>
      <c r="J4" s="192" t="s">
        <v>23</v>
      </c>
      <c r="K4" s="192" t="s">
        <v>24</v>
      </c>
      <c r="L4" s="192" t="s">
        <v>25</v>
      </c>
      <c r="M4" s="191"/>
      <c r="N4" s="191"/>
      <c r="O4" s="192" t="s">
        <v>26</v>
      </c>
      <c r="P4" s="192" t="s">
        <v>27</v>
      </c>
      <c r="Q4" s="192" t="s">
        <v>28</v>
      </c>
      <c r="R4" s="192" t="s">
        <v>29</v>
      </c>
      <c r="S4" s="192" t="s">
        <v>30</v>
      </c>
      <c r="T4" s="192" t="s">
        <v>31</v>
      </c>
      <c r="U4" s="191"/>
      <c r="V4" s="191"/>
      <c r="W4" s="191"/>
      <c r="X4" s="191"/>
      <c r="Y4" s="191"/>
      <c r="Z4" s="235"/>
      <c r="AA4" s="232" t="s">
        <v>32</v>
      </c>
      <c r="AB4" s="232" t="s">
        <v>33</v>
      </c>
      <c r="AC4" s="232" t="s">
        <v>34</v>
      </c>
      <c r="AD4" s="232"/>
      <c r="AE4" s="232"/>
      <c r="AF4" s="232"/>
      <c r="AG4" s="232"/>
      <c r="AH4" s="232"/>
      <c r="AI4" s="232" t="s">
        <v>35</v>
      </c>
      <c r="AJ4" s="232" t="s">
        <v>36</v>
      </c>
      <c r="AK4" s="240"/>
      <c r="AL4" s="178"/>
      <c r="AM4" s="178"/>
      <c r="AN4" s="178"/>
    </row>
    <row r="5" spans="1:60" s="176" customFormat="1" ht="14.25" hidden="1">
      <c r="A5" s="193">
        <v>1</v>
      </c>
      <c r="B5" s="186" t="s">
        <v>37</v>
      </c>
      <c r="C5" s="194" t="s">
        <v>38</v>
      </c>
      <c r="D5" s="186" t="s">
        <v>39</v>
      </c>
      <c r="E5" s="195">
        <v>12333</v>
      </c>
      <c r="F5" s="195"/>
      <c r="G5" s="195"/>
      <c r="H5" s="195"/>
      <c r="I5" s="195"/>
      <c r="J5" s="216">
        <v>264</v>
      </c>
      <c r="K5" s="216"/>
      <c r="L5" s="216"/>
      <c r="M5" s="217">
        <f aca="true" t="shared" si="0" ref="M5:M8">SUM(E5:L5)</f>
        <v>12597</v>
      </c>
      <c r="N5" s="216">
        <v>19629</v>
      </c>
      <c r="O5" s="218">
        <f aca="true" t="shared" si="1" ref="O5:O8">ROUND(IF(N5&gt;3925.8,N5,3925.8)*16%,2)</f>
        <v>3140.64</v>
      </c>
      <c r="P5" s="218">
        <f aca="true" t="shared" si="2" ref="P5:P8">ROUND(IF(N5&gt;3925.8,N5,3925.8)*8.5%,2)</f>
        <v>1668.47</v>
      </c>
      <c r="Q5" s="218">
        <f aca="true" t="shared" si="3" ref="Q5:Q8">ROUND(IF(N5&gt;3925.8,N5,3925.8)*0.5%,2)</f>
        <v>98.15</v>
      </c>
      <c r="R5" s="218">
        <f aca="true" t="shared" si="4" ref="R5:R8">ROUND(IF(N5&gt;3925.8,N5,3925.8)*0.28%,2)</f>
        <v>54.96</v>
      </c>
      <c r="S5" s="218"/>
      <c r="T5" s="218">
        <f aca="true" t="shared" si="5" ref="T5:T8">CEILING(N5*12%,1)</f>
        <v>2356</v>
      </c>
      <c r="U5" s="218">
        <f aca="true" t="shared" si="6" ref="U5:U8">(M5*12+W5+Y5)*2%</f>
        <v>9242.5856</v>
      </c>
      <c r="V5" s="218">
        <f aca="true" t="shared" si="7" ref="V5:V8">(M5*12+W5+Y5)*1.5%</f>
        <v>6931.9392</v>
      </c>
      <c r="W5" s="226">
        <v>76494.21</v>
      </c>
      <c r="X5" s="218">
        <f aca="true" t="shared" si="8" ref="X5:X8">SUM(E5:J5)+SUM(O5:T5)</f>
        <v>19915.22</v>
      </c>
      <c r="Y5" s="226">
        <v>234471.07</v>
      </c>
      <c r="Z5" s="218">
        <f aca="true" t="shared" si="9" ref="Z5:Z8">X5*12+Y5+W5+U5+V5+L5*7</f>
        <v>566122.4448</v>
      </c>
      <c r="AA5" s="232">
        <f aca="true" t="shared" si="10" ref="AA5:AA8">ROUND(N5*8%,2)</f>
        <v>1570.32</v>
      </c>
      <c r="AB5" s="232">
        <f aca="true" t="shared" si="11" ref="AB5:AB8">ROUND(N5*2%,2)</f>
        <v>392.58</v>
      </c>
      <c r="AC5" s="232">
        <f aca="true" t="shared" si="12" ref="AC5:AC8">ROUND(N5*0.5%,2)</f>
        <v>98.15</v>
      </c>
      <c r="AD5" s="232"/>
      <c r="AE5" s="232" t="s">
        <v>40</v>
      </c>
      <c r="AF5" s="236" t="e">
        <f>M19+M11+M10+M27+M57+M70+M40+M41+M33+M64+#REF!</f>
        <v>#REF!</v>
      </c>
      <c r="AG5" s="241" t="e">
        <f>W19+W11+W10+W27+W57+W70+W40+W41+W33+W64+#REF!</f>
        <v>#REF!</v>
      </c>
      <c r="AH5" s="241" t="e">
        <f>Y19+Y11+Y10+Y27+Y57+Y70+Y40+Y41+Y33+Y64+#REF!</f>
        <v>#REF!</v>
      </c>
      <c r="AI5" s="241">
        <f>M9*12</f>
        <v>548088</v>
      </c>
      <c r="AJ5" s="242"/>
      <c r="AK5" s="239" t="s">
        <v>41</v>
      </c>
      <c r="AL5" s="178" t="s">
        <v>42</v>
      </c>
      <c r="AM5" s="178"/>
      <c r="AN5" s="178"/>
      <c r="AO5" s="178"/>
      <c r="AP5" s="178"/>
      <c r="AQ5" s="178"/>
      <c r="AR5" s="178"/>
      <c r="AS5" s="178"/>
      <c r="AT5" s="178"/>
      <c r="AU5" s="178"/>
      <c r="AV5" s="178"/>
      <c r="AW5" s="178"/>
      <c r="AX5" s="178"/>
      <c r="AY5" s="178"/>
      <c r="AZ5" s="178"/>
      <c r="BA5" s="178"/>
      <c r="BB5" s="178"/>
      <c r="BC5" s="178"/>
      <c r="BD5" s="178"/>
      <c r="BE5" s="178"/>
      <c r="BF5" s="178"/>
      <c r="BG5" s="178"/>
      <c r="BH5" s="178"/>
    </row>
    <row r="6" spans="1:60" s="176" customFormat="1" ht="14.25" hidden="1">
      <c r="A6" s="193">
        <v>2</v>
      </c>
      <c r="B6" s="186" t="s">
        <v>37</v>
      </c>
      <c r="C6" s="186" t="s">
        <v>43</v>
      </c>
      <c r="D6" s="186" t="s">
        <v>44</v>
      </c>
      <c r="E6" s="195">
        <v>12333</v>
      </c>
      <c r="F6" s="195"/>
      <c r="G6" s="195"/>
      <c r="H6" s="195"/>
      <c r="I6" s="195"/>
      <c r="J6" s="216">
        <v>264</v>
      </c>
      <c r="K6" s="216"/>
      <c r="L6" s="216"/>
      <c r="M6" s="217">
        <f t="shared" si="0"/>
        <v>12597</v>
      </c>
      <c r="N6" s="216">
        <v>19629</v>
      </c>
      <c r="O6" s="218">
        <f t="shared" si="1"/>
        <v>3140.64</v>
      </c>
      <c r="P6" s="218">
        <f t="shared" si="2"/>
        <v>1668.47</v>
      </c>
      <c r="Q6" s="218">
        <f t="shared" si="3"/>
        <v>98.15</v>
      </c>
      <c r="R6" s="218">
        <f t="shared" si="4"/>
        <v>54.96</v>
      </c>
      <c r="S6" s="218"/>
      <c r="T6" s="218">
        <f t="shared" si="5"/>
        <v>2356</v>
      </c>
      <c r="U6" s="218">
        <f t="shared" si="6"/>
        <v>9242.5856</v>
      </c>
      <c r="V6" s="218">
        <f t="shared" si="7"/>
        <v>6931.9392</v>
      </c>
      <c r="W6" s="226">
        <v>76494.21</v>
      </c>
      <c r="X6" s="218">
        <f t="shared" si="8"/>
        <v>19915.22</v>
      </c>
      <c r="Y6" s="226">
        <v>234471.07</v>
      </c>
      <c r="Z6" s="218">
        <f t="shared" si="9"/>
        <v>566122.4448</v>
      </c>
      <c r="AA6" s="232">
        <f t="shared" si="10"/>
        <v>1570.32</v>
      </c>
      <c r="AB6" s="232">
        <f t="shared" si="11"/>
        <v>392.58</v>
      </c>
      <c r="AC6" s="232">
        <f t="shared" si="12"/>
        <v>98.15</v>
      </c>
      <c r="AD6" s="232"/>
      <c r="AE6" s="232"/>
      <c r="AF6" s="236" t="e">
        <f>M76-M9-AF5</f>
        <v>#REF!</v>
      </c>
      <c r="AG6" s="236" t="e">
        <f>W76-AG5</f>
        <v>#REF!</v>
      </c>
      <c r="AH6" s="236" t="e">
        <f>Y76-AH5-Y9</f>
        <v>#REF!</v>
      </c>
      <c r="AI6" s="241">
        <f>AI5+W9+Y9</f>
        <v>1723836.08</v>
      </c>
      <c r="AJ6" s="242"/>
      <c r="AK6" s="239" t="s">
        <v>41</v>
      </c>
      <c r="AL6" s="178"/>
      <c r="AM6" s="178"/>
      <c r="AN6" s="178"/>
      <c r="AO6" s="178"/>
      <c r="AP6" s="178"/>
      <c r="AQ6" s="178"/>
      <c r="AR6" s="178"/>
      <c r="AS6" s="178"/>
      <c r="AT6" s="178"/>
      <c r="AU6" s="178"/>
      <c r="AV6" s="178"/>
      <c r="AW6" s="178"/>
      <c r="AX6" s="178"/>
      <c r="AY6" s="178"/>
      <c r="AZ6" s="178"/>
      <c r="BA6" s="178"/>
      <c r="BB6" s="178"/>
      <c r="BC6" s="178"/>
      <c r="BD6" s="178"/>
      <c r="BE6" s="178"/>
      <c r="BF6" s="178"/>
      <c r="BG6" s="178"/>
      <c r="BH6" s="178"/>
    </row>
    <row r="7" spans="1:61" s="176" customFormat="1" ht="14.25" hidden="1">
      <c r="A7" s="193">
        <v>3</v>
      </c>
      <c r="B7" s="186" t="s">
        <v>37</v>
      </c>
      <c r="C7" s="186" t="s">
        <v>45</v>
      </c>
      <c r="D7" s="186" t="s">
        <v>46</v>
      </c>
      <c r="E7" s="195">
        <v>9866</v>
      </c>
      <c r="F7" s="195"/>
      <c r="G7" s="195"/>
      <c r="H7" s="195"/>
      <c r="I7" s="195"/>
      <c r="J7" s="216">
        <v>264</v>
      </c>
      <c r="K7" s="216"/>
      <c r="L7" s="216"/>
      <c r="M7" s="217">
        <f t="shared" si="0"/>
        <v>10130</v>
      </c>
      <c r="N7" s="216">
        <v>19629</v>
      </c>
      <c r="O7" s="218">
        <f t="shared" si="1"/>
        <v>3140.64</v>
      </c>
      <c r="P7" s="218">
        <f t="shared" si="2"/>
        <v>1668.47</v>
      </c>
      <c r="Q7" s="218">
        <f t="shared" si="3"/>
        <v>98.15</v>
      </c>
      <c r="R7" s="218">
        <f t="shared" si="4"/>
        <v>54.96</v>
      </c>
      <c r="S7" s="218"/>
      <c r="T7" s="218">
        <f t="shared" si="5"/>
        <v>2356</v>
      </c>
      <c r="U7" s="218">
        <f t="shared" si="6"/>
        <v>7969.3752</v>
      </c>
      <c r="V7" s="218">
        <f t="shared" si="7"/>
        <v>5977.0314</v>
      </c>
      <c r="W7" s="226">
        <v>65884.8</v>
      </c>
      <c r="X7" s="218">
        <f t="shared" si="8"/>
        <v>17448.22</v>
      </c>
      <c r="Y7" s="226">
        <v>211023.96</v>
      </c>
      <c r="Z7" s="218">
        <f t="shared" si="9"/>
        <v>500233.80659999995</v>
      </c>
      <c r="AA7" s="232">
        <f t="shared" si="10"/>
        <v>1570.32</v>
      </c>
      <c r="AB7" s="232">
        <f t="shared" si="11"/>
        <v>392.58</v>
      </c>
      <c r="AC7" s="232">
        <f t="shared" si="12"/>
        <v>98.15</v>
      </c>
      <c r="AD7" s="232"/>
      <c r="AE7" s="232"/>
      <c r="AF7" s="232"/>
      <c r="AG7" s="232"/>
      <c r="AH7" s="232"/>
      <c r="AI7" s="232">
        <f>M9*5</f>
        <v>228370</v>
      </c>
      <c r="AJ7" s="242"/>
      <c r="AK7" s="239" t="s">
        <v>41</v>
      </c>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row>
    <row r="8" spans="1:60" s="176" customFormat="1" ht="14.25" hidden="1">
      <c r="A8" s="193">
        <v>4</v>
      </c>
      <c r="B8" s="186" t="s">
        <v>37</v>
      </c>
      <c r="C8" s="186" t="s">
        <v>47</v>
      </c>
      <c r="D8" s="186" t="s">
        <v>48</v>
      </c>
      <c r="E8" s="195">
        <v>9866</v>
      </c>
      <c r="F8" s="195"/>
      <c r="G8" s="195"/>
      <c r="H8" s="195">
        <v>220</v>
      </c>
      <c r="I8" s="195"/>
      <c r="J8" s="216">
        <v>264</v>
      </c>
      <c r="K8" s="216"/>
      <c r="L8" s="216"/>
      <c r="M8" s="217">
        <f t="shared" si="0"/>
        <v>10350</v>
      </c>
      <c r="N8" s="216">
        <v>19629</v>
      </c>
      <c r="O8" s="218">
        <f t="shared" si="1"/>
        <v>3140.64</v>
      </c>
      <c r="P8" s="218">
        <f t="shared" si="2"/>
        <v>1668.47</v>
      </c>
      <c r="Q8" s="218">
        <f t="shared" si="3"/>
        <v>98.15</v>
      </c>
      <c r="R8" s="218">
        <f t="shared" si="4"/>
        <v>54.96</v>
      </c>
      <c r="S8" s="218"/>
      <c r="T8" s="218">
        <f t="shared" si="5"/>
        <v>2356</v>
      </c>
      <c r="U8" s="218">
        <f t="shared" si="6"/>
        <v>8022.175200000001</v>
      </c>
      <c r="V8" s="218">
        <f t="shared" si="7"/>
        <v>6016.6314</v>
      </c>
      <c r="W8" s="226">
        <v>65884.8</v>
      </c>
      <c r="X8" s="218">
        <f t="shared" si="8"/>
        <v>17668.22</v>
      </c>
      <c r="Y8" s="226">
        <v>211023.96</v>
      </c>
      <c r="Z8" s="218">
        <f t="shared" si="9"/>
        <v>502966.2066</v>
      </c>
      <c r="AA8" s="232">
        <f t="shared" si="10"/>
        <v>1570.32</v>
      </c>
      <c r="AB8" s="232">
        <f t="shared" si="11"/>
        <v>392.58</v>
      </c>
      <c r="AC8" s="232">
        <f t="shared" si="12"/>
        <v>98.15</v>
      </c>
      <c r="AD8" s="232"/>
      <c r="AE8" s="232"/>
      <c r="AF8" s="232"/>
      <c r="AG8" s="232"/>
      <c r="AH8" s="232"/>
      <c r="AI8" s="243">
        <f>AI7+W9</f>
        <v>513128.02</v>
      </c>
      <c r="AJ8" s="242"/>
      <c r="AK8" s="239" t="s">
        <v>41</v>
      </c>
      <c r="AL8" s="178"/>
      <c r="AM8" s="178"/>
      <c r="AN8" s="178"/>
      <c r="AO8" s="178"/>
      <c r="AP8" s="178"/>
      <c r="AQ8" s="178"/>
      <c r="AR8" s="178"/>
      <c r="AS8" s="178"/>
      <c r="AT8" s="178"/>
      <c r="AU8" s="178"/>
      <c r="AV8" s="178"/>
      <c r="AW8" s="178"/>
      <c r="AX8" s="178"/>
      <c r="AY8" s="178"/>
      <c r="AZ8" s="178"/>
      <c r="BA8" s="178"/>
      <c r="BB8" s="178"/>
      <c r="BC8" s="178"/>
      <c r="BD8" s="178"/>
      <c r="BE8" s="178"/>
      <c r="BF8" s="178"/>
      <c r="BG8" s="178"/>
      <c r="BH8" s="178"/>
    </row>
    <row r="9" spans="1:40" s="176" customFormat="1" ht="14.25" hidden="1">
      <c r="A9" s="196" t="s">
        <v>49</v>
      </c>
      <c r="B9" s="197"/>
      <c r="C9" s="197"/>
      <c r="D9" s="198"/>
      <c r="E9" s="199">
        <f aca="true" t="shared" si="13" ref="E9:M9">SUM(E5:E8)</f>
        <v>44398</v>
      </c>
      <c r="F9" s="199">
        <f t="shared" si="13"/>
        <v>0</v>
      </c>
      <c r="G9" s="199">
        <f t="shared" si="13"/>
        <v>0</v>
      </c>
      <c r="H9" s="199">
        <f t="shared" si="13"/>
        <v>220</v>
      </c>
      <c r="I9" s="199">
        <f t="shared" si="13"/>
        <v>0</v>
      </c>
      <c r="J9" s="199">
        <f t="shared" si="13"/>
        <v>1056</v>
      </c>
      <c r="K9" s="199">
        <f t="shared" si="13"/>
        <v>0</v>
      </c>
      <c r="L9" s="199">
        <f t="shared" si="13"/>
        <v>0</v>
      </c>
      <c r="M9" s="219">
        <f t="shared" si="13"/>
        <v>45674</v>
      </c>
      <c r="N9" s="199"/>
      <c r="O9" s="220">
        <f aca="true" t="shared" si="14" ref="O9:Z9">SUM(O5:O8)</f>
        <v>12562.56</v>
      </c>
      <c r="P9" s="220">
        <f t="shared" si="14"/>
        <v>6673.88</v>
      </c>
      <c r="Q9" s="220">
        <f t="shared" si="14"/>
        <v>392.6</v>
      </c>
      <c r="R9" s="220">
        <f t="shared" si="14"/>
        <v>219.84</v>
      </c>
      <c r="S9" s="220">
        <f t="shared" si="14"/>
        <v>0</v>
      </c>
      <c r="T9" s="220">
        <f t="shared" si="14"/>
        <v>9424</v>
      </c>
      <c r="U9" s="220">
        <f t="shared" si="14"/>
        <v>34476.7216</v>
      </c>
      <c r="V9" s="220">
        <f t="shared" si="14"/>
        <v>25857.5412</v>
      </c>
      <c r="W9" s="227">
        <f t="shared" si="14"/>
        <v>284758.02</v>
      </c>
      <c r="X9" s="227">
        <f t="shared" si="14"/>
        <v>74946.88</v>
      </c>
      <c r="Y9" s="227">
        <f t="shared" si="14"/>
        <v>890990.0599999999</v>
      </c>
      <c r="Z9" s="227">
        <f t="shared" si="14"/>
        <v>2135444.9028000003</v>
      </c>
      <c r="AA9" s="237"/>
      <c r="AB9" s="238"/>
      <c r="AC9" s="238"/>
      <c r="AD9" s="238"/>
      <c r="AE9" s="238"/>
      <c r="AF9" s="238"/>
      <c r="AG9" s="238"/>
      <c r="AH9" s="238"/>
      <c r="AI9" s="238"/>
      <c r="AJ9" s="242"/>
      <c r="AK9" s="244"/>
      <c r="AL9" s="178"/>
      <c r="AM9" s="178"/>
      <c r="AN9" s="178"/>
    </row>
    <row r="10" spans="1:40" s="176" customFormat="1" ht="13.5" hidden="1">
      <c r="A10" s="186">
        <v>5</v>
      </c>
      <c r="B10" s="186" t="s">
        <v>50</v>
      </c>
      <c r="C10" s="200" t="s">
        <v>51</v>
      </c>
      <c r="D10" s="200" t="s">
        <v>52</v>
      </c>
      <c r="E10" s="195">
        <v>5300</v>
      </c>
      <c r="F10" s="201"/>
      <c r="G10" s="201">
        <v>90</v>
      </c>
      <c r="H10" s="195"/>
      <c r="I10" s="201">
        <v>200</v>
      </c>
      <c r="J10" s="216">
        <v>264</v>
      </c>
      <c r="K10" s="221"/>
      <c r="L10" s="221">
        <v>300</v>
      </c>
      <c r="M10" s="217">
        <f aca="true" t="shared" si="15" ref="M10:M17">SUM(E10:L10)</f>
        <v>6154</v>
      </c>
      <c r="N10" s="216">
        <v>6499</v>
      </c>
      <c r="O10" s="218">
        <f aca="true" t="shared" si="16" ref="O10:O17">ROUND(IF(N10&gt;3925.8,N10,3925.8)*16%,2)</f>
        <v>1039.84</v>
      </c>
      <c r="P10" s="218">
        <f aca="true" t="shared" si="17" ref="P10:P17">ROUND(IF(N10&gt;3925.8,N10,3925.8)*8.5%,2)</f>
        <v>552.42</v>
      </c>
      <c r="Q10" s="218">
        <f aca="true" t="shared" si="18" ref="Q10:Q17">ROUND(IF(N10&gt;3925.8,N10,3925.8)*0.5%,2)</f>
        <v>32.5</v>
      </c>
      <c r="R10" s="218">
        <f aca="true" t="shared" si="19" ref="R10:R17">ROUND(IF(N10&gt;3925.8,N10,3925.8)*0.28%,2)</f>
        <v>18.2</v>
      </c>
      <c r="S10" s="218"/>
      <c r="T10" s="218">
        <f aca="true" t="shared" si="20" ref="T10:T17">CEILING(N10*12%,1)</f>
        <v>780</v>
      </c>
      <c r="U10" s="218">
        <f aca="true" t="shared" si="21" ref="U10:U12">((SUM(E10:J10)+W10)*12+L10*7+Y10)*2%</f>
        <v>2556.96</v>
      </c>
      <c r="V10" s="218">
        <f aca="true" t="shared" si="22" ref="V10:V12">((SUM(E10:J10)+W10)*12+L10*7+Y10)*1.5%</f>
        <v>1917.72</v>
      </c>
      <c r="W10" s="226">
        <v>1500</v>
      </c>
      <c r="X10" s="218">
        <f aca="true" t="shared" si="23" ref="X10:X17">SUM(E10:J10)+SUM(O10:T10)+W10</f>
        <v>9776.96</v>
      </c>
      <c r="Y10" s="226">
        <v>37500</v>
      </c>
      <c r="Z10" s="218">
        <f aca="true" t="shared" si="24" ref="Z10:Z12">X10*12+Y10+U10+V10+L10*7</f>
        <v>161398.19999999998</v>
      </c>
      <c r="AA10" s="232">
        <f aca="true" t="shared" si="25" ref="AA10:AA17">ROUND(N10*8%,2)</f>
        <v>519.92</v>
      </c>
      <c r="AB10" s="232">
        <f aca="true" t="shared" si="26" ref="AB10:AB17">ROUND(N10*2%,2)</f>
        <v>129.98</v>
      </c>
      <c r="AC10" s="232">
        <f aca="true" t="shared" si="27" ref="AC10:AC17">ROUND(N10*0.5%,2)</f>
        <v>32.5</v>
      </c>
      <c r="AD10" s="232">
        <f aca="true" t="shared" si="28" ref="AD10:AD17">SUM(AA10:AC10)</f>
        <v>682.4</v>
      </c>
      <c r="AE10" s="232">
        <f aca="true" t="shared" si="29" ref="AE10:AE17">ROUND(IF(N10&gt;3453*105%,N10,3453*105%)*8%,2)</f>
        <v>519.92</v>
      </c>
      <c r="AF10" s="232">
        <f aca="true" t="shared" si="30" ref="AF10:AF17">ROUND(IF(N10&gt;3453*105%,N10,3453*105%)*2%,2)</f>
        <v>129.98</v>
      </c>
      <c r="AG10" s="232">
        <f aca="true" t="shared" si="31" ref="AG10:AG17">ROUND(IF(N10&gt;3453*105%,N10,3453*105%)*0.5%,2)</f>
        <v>32.5</v>
      </c>
      <c r="AH10" s="232">
        <f aca="true" t="shared" si="32" ref="AH10:AH17">SUM(AE10:AG10)</f>
        <v>682.4</v>
      </c>
      <c r="AI10" s="232">
        <f aca="true" t="shared" si="33" ref="AI10:AI17">AH10-AD10</f>
        <v>0</v>
      </c>
      <c r="AJ10" s="232"/>
      <c r="AK10" s="245" t="s">
        <v>42</v>
      </c>
      <c r="AL10" s="178">
        <f>SUMIF(E:E,"职员"&amp;"主管",G:G)</f>
        <v>0</v>
      </c>
      <c r="AM10" s="178">
        <f>H247-AL10</f>
        <v>60128</v>
      </c>
      <c r="AN10" s="178"/>
    </row>
    <row r="11" spans="1:40" s="176" customFormat="1" ht="13.5" hidden="1">
      <c r="A11" s="186">
        <v>6</v>
      </c>
      <c r="B11" s="186" t="s">
        <v>53</v>
      </c>
      <c r="C11" s="186" t="s">
        <v>54</v>
      </c>
      <c r="D11" s="186" t="s">
        <v>55</v>
      </c>
      <c r="E11" s="195">
        <v>5300</v>
      </c>
      <c r="F11" s="195"/>
      <c r="G11" s="201">
        <v>390</v>
      </c>
      <c r="H11" s="195"/>
      <c r="I11" s="195">
        <v>200</v>
      </c>
      <c r="J11" s="216">
        <v>264</v>
      </c>
      <c r="K11" s="216"/>
      <c r="L11" s="221">
        <v>300</v>
      </c>
      <c r="M11" s="217">
        <f t="shared" si="15"/>
        <v>6454</v>
      </c>
      <c r="N11" s="216">
        <v>7550</v>
      </c>
      <c r="O11" s="218">
        <f t="shared" si="16"/>
        <v>1208</v>
      </c>
      <c r="P11" s="218">
        <f t="shared" si="17"/>
        <v>641.75</v>
      </c>
      <c r="Q11" s="218">
        <f t="shared" si="18"/>
        <v>37.75</v>
      </c>
      <c r="R11" s="218">
        <f t="shared" si="19"/>
        <v>21.14</v>
      </c>
      <c r="S11" s="218"/>
      <c r="T11" s="218">
        <f t="shared" si="20"/>
        <v>906</v>
      </c>
      <c r="U11" s="218">
        <f t="shared" si="21"/>
        <v>2628.96</v>
      </c>
      <c r="V11" s="218">
        <f t="shared" si="22"/>
        <v>1971.72</v>
      </c>
      <c r="W11" s="226">
        <v>1500</v>
      </c>
      <c r="X11" s="218">
        <f t="shared" si="23"/>
        <v>10468.64</v>
      </c>
      <c r="Y11" s="226">
        <v>37500</v>
      </c>
      <c r="Z11" s="218">
        <f t="shared" si="24"/>
        <v>169824.36</v>
      </c>
      <c r="AA11" s="232">
        <f t="shared" si="25"/>
        <v>604</v>
      </c>
      <c r="AB11" s="232">
        <f t="shared" si="26"/>
        <v>151</v>
      </c>
      <c r="AC11" s="232">
        <f t="shared" si="27"/>
        <v>37.75</v>
      </c>
      <c r="AD11" s="232">
        <f t="shared" si="28"/>
        <v>792.75</v>
      </c>
      <c r="AE11" s="232">
        <f t="shared" si="29"/>
        <v>604</v>
      </c>
      <c r="AF11" s="232">
        <f t="shared" si="30"/>
        <v>151</v>
      </c>
      <c r="AG11" s="232">
        <f t="shared" si="31"/>
        <v>37.75</v>
      </c>
      <c r="AH11" s="232">
        <f t="shared" si="32"/>
        <v>792.75</v>
      </c>
      <c r="AI11" s="232">
        <f t="shared" si="33"/>
        <v>0</v>
      </c>
      <c r="AJ11" s="232"/>
      <c r="AK11" s="245" t="s">
        <v>42</v>
      </c>
      <c r="AL11" s="178">
        <f>SUMIF(AK:AK,"*中层",H:H)</f>
        <v>1140</v>
      </c>
      <c r="AM11" s="178">
        <f>AL11-O247</f>
        <v>-140584.0300000001</v>
      </c>
      <c r="AN11" s="178"/>
    </row>
    <row r="12" spans="1:40" s="176" customFormat="1" ht="13.5" hidden="1">
      <c r="A12" s="186">
        <v>7</v>
      </c>
      <c r="B12" s="186"/>
      <c r="C12" s="186" t="s">
        <v>56</v>
      </c>
      <c r="D12" s="186" t="s">
        <v>57</v>
      </c>
      <c r="E12" s="195">
        <v>3900</v>
      </c>
      <c r="F12" s="201"/>
      <c r="G12" s="201">
        <v>70</v>
      </c>
      <c r="H12" s="195"/>
      <c r="I12" s="195">
        <v>100</v>
      </c>
      <c r="J12" s="216">
        <v>264</v>
      </c>
      <c r="K12" s="222"/>
      <c r="L12" s="221">
        <v>300</v>
      </c>
      <c r="M12" s="217">
        <f t="shared" si="15"/>
        <v>4634</v>
      </c>
      <c r="N12" s="216">
        <v>5677</v>
      </c>
      <c r="O12" s="218">
        <f t="shared" si="16"/>
        <v>908.32</v>
      </c>
      <c r="P12" s="218">
        <f t="shared" si="17"/>
        <v>482.55</v>
      </c>
      <c r="Q12" s="218">
        <f t="shared" si="18"/>
        <v>28.39</v>
      </c>
      <c r="R12" s="218">
        <f t="shared" si="19"/>
        <v>15.9</v>
      </c>
      <c r="S12" s="218"/>
      <c r="T12" s="218">
        <f t="shared" si="20"/>
        <v>682</v>
      </c>
      <c r="U12" s="218">
        <f t="shared" si="21"/>
        <v>1964.16</v>
      </c>
      <c r="V12" s="218">
        <f t="shared" si="22"/>
        <v>1473.12</v>
      </c>
      <c r="W12" s="226">
        <v>1300</v>
      </c>
      <c r="X12" s="218">
        <f t="shared" si="23"/>
        <v>7751.16</v>
      </c>
      <c r="Y12" s="226">
        <v>28500</v>
      </c>
      <c r="Z12" s="218">
        <f t="shared" si="24"/>
        <v>127051.2</v>
      </c>
      <c r="AA12" s="232">
        <f t="shared" si="25"/>
        <v>454.16</v>
      </c>
      <c r="AB12" s="232">
        <f t="shared" si="26"/>
        <v>113.54</v>
      </c>
      <c r="AC12" s="232">
        <f t="shared" si="27"/>
        <v>28.39</v>
      </c>
      <c r="AD12" s="232">
        <f t="shared" si="28"/>
        <v>596.09</v>
      </c>
      <c r="AE12" s="232">
        <f t="shared" si="29"/>
        <v>454.16</v>
      </c>
      <c r="AF12" s="232">
        <f t="shared" si="30"/>
        <v>113.54</v>
      </c>
      <c r="AG12" s="232">
        <f t="shared" si="31"/>
        <v>28.39</v>
      </c>
      <c r="AH12" s="232">
        <f t="shared" si="32"/>
        <v>596.09</v>
      </c>
      <c r="AI12" s="232">
        <f t="shared" si="33"/>
        <v>0</v>
      </c>
      <c r="AJ12" s="239"/>
      <c r="AK12" s="245" t="s">
        <v>58</v>
      </c>
      <c r="AL12" s="178">
        <f>SUMIF(AK:AK,AL5,I:I)</f>
        <v>2650</v>
      </c>
      <c r="AM12" s="178"/>
      <c r="AN12" s="178"/>
    </row>
    <row r="13" spans="1:40" s="176" customFormat="1" ht="13.5" hidden="1">
      <c r="A13" s="202">
        <v>8</v>
      </c>
      <c r="B13" s="186" t="s">
        <v>59</v>
      </c>
      <c r="C13" s="202" t="s">
        <v>60</v>
      </c>
      <c r="D13" s="200" t="s">
        <v>58</v>
      </c>
      <c r="E13" s="195">
        <v>4600</v>
      </c>
      <c r="F13" s="195"/>
      <c r="G13" s="201">
        <v>330</v>
      </c>
      <c r="H13" s="195">
        <v>235</v>
      </c>
      <c r="I13" s="195">
        <v>100</v>
      </c>
      <c r="J13" s="216">
        <v>264</v>
      </c>
      <c r="K13" s="216"/>
      <c r="L13" s="221">
        <v>300</v>
      </c>
      <c r="M13" s="217">
        <f t="shared" si="15"/>
        <v>5829</v>
      </c>
      <c r="N13" s="216">
        <v>6729</v>
      </c>
      <c r="O13" s="218">
        <f t="shared" si="16"/>
        <v>1076.64</v>
      </c>
      <c r="P13" s="218">
        <f t="shared" si="17"/>
        <v>571.97</v>
      </c>
      <c r="Q13" s="218">
        <f t="shared" si="18"/>
        <v>33.65</v>
      </c>
      <c r="R13" s="218">
        <f t="shared" si="19"/>
        <v>18.84</v>
      </c>
      <c r="S13" s="218"/>
      <c r="T13" s="218">
        <f t="shared" si="20"/>
        <v>808</v>
      </c>
      <c r="U13" s="218">
        <f>((SUM(E13:J13)+W13)*9+L13*6+Y13)*2%</f>
        <v>1584.72</v>
      </c>
      <c r="V13" s="218">
        <f>((SUM(E13:J13)+W13)*9+L13*6+Y13)*1.5%</f>
        <v>1188.54</v>
      </c>
      <c r="W13" s="226">
        <v>1200</v>
      </c>
      <c r="X13" s="218">
        <f t="shared" si="23"/>
        <v>9238.1</v>
      </c>
      <c r="Y13" s="226">
        <f>22500/12*9</f>
        <v>16875</v>
      </c>
      <c r="Z13" s="218">
        <f>X13*9+Y13+U13+V13+L13*6</f>
        <v>104591.16</v>
      </c>
      <c r="AA13" s="232">
        <f t="shared" si="25"/>
        <v>538.32</v>
      </c>
      <c r="AB13" s="232">
        <f t="shared" si="26"/>
        <v>134.58</v>
      </c>
      <c r="AC13" s="232">
        <f t="shared" si="27"/>
        <v>33.65</v>
      </c>
      <c r="AD13" s="232">
        <f t="shared" si="28"/>
        <v>706.5500000000001</v>
      </c>
      <c r="AE13" s="232">
        <f t="shared" si="29"/>
        <v>538.32</v>
      </c>
      <c r="AF13" s="232">
        <f t="shared" si="30"/>
        <v>134.58</v>
      </c>
      <c r="AG13" s="232">
        <f t="shared" si="31"/>
        <v>33.65</v>
      </c>
      <c r="AH13" s="232">
        <f t="shared" si="32"/>
        <v>706.5500000000001</v>
      </c>
      <c r="AI13" s="232">
        <f t="shared" si="33"/>
        <v>0</v>
      </c>
      <c r="AJ13" s="232" t="s">
        <v>61</v>
      </c>
      <c r="AK13" s="245" t="s">
        <v>58</v>
      </c>
      <c r="AL13" s="178">
        <f>SUMIF(AK:AK,AL5,J:J)</f>
        <v>3696</v>
      </c>
      <c r="AM13" s="178"/>
      <c r="AN13" s="178"/>
    </row>
    <row r="14" spans="1:40" s="177" customFormat="1" ht="14.25" hidden="1">
      <c r="A14" s="186">
        <v>9</v>
      </c>
      <c r="B14" s="186"/>
      <c r="C14" s="186" t="s">
        <v>62</v>
      </c>
      <c r="D14" s="186" t="s">
        <v>58</v>
      </c>
      <c r="E14" s="195">
        <v>3900</v>
      </c>
      <c r="F14" s="201"/>
      <c r="G14" s="201">
        <v>70</v>
      </c>
      <c r="H14" s="195"/>
      <c r="I14" s="195">
        <v>100</v>
      </c>
      <c r="J14" s="216">
        <v>264</v>
      </c>
      <c r="K14" s="195"/>
      <c r="L14" s="221">
        <v>300</v>
      </c>
      <c r="M14" s="217">
        <f t="shared" si="15"/>
        <v>4634</v>
      </c>
      <c r="N14" s="216">
        <v>5604</v>
      </c>
      <c r="O14" s="218">
        <f t="shared" si="16"/>
        <v>896.64</v>
      </c>
      <c r="P14" s="218">
        <f t="shared" si="17"/>
        <v>476.34</v>
      </c>
      <c r="Q14" s="218">
        <f t="shared" si="18"/>
        <v>28.02</v>
      </c>
      <c r="R14" s="218">
        <f t="shared" si="19"/>
        <v>15.69</v>
      </c>
      <c r="S14" s="218"/>
      <c r="T14" s="218">
        <f t="shared" si="20"/>
        <v>673</v>
      </c>
      <c r="U14" s="218">
        <f aca="true" t="shared" si="34" ref="U14:U16">((SUM(E14:J14)+W14)*12+L14*7+Y14)*2%</f>
        <v>1820.16</v>
      </c>
      <c r="V14" s="218">
        <f aca="true" t="shared" si="35" ref="V14:V16">((SUM(E14:J14)+W14)*12+L14*7+Y14)*1.5%</f>
        <v>1365.12</v>
      </c>
      <c r="W14" s="226">
        <v>1200</v>
      </c>
      <c r="X14" s="218">
        <f t="shared" si="23"/>
        <v>7623.6900000000005</v>
      </c>
      <c r="Y14" s="226">
        <v>22500</v>
      </c>
      <c r="Z14" s="218">
        <f aca="true" t="shared" si="36" ref="Z14:Z16">X14*12+Y14+U14+V14+L14*7</f>
        <v>119269.56</v>
      </c>
      <c r="AA14" s="232">
        <f t="shared" si="25"/>
        <v>448.32</v>
      </c>
      <c r="AB14" s="232">
        <f t="shared" si="26"/>
        <v>112.08</v>
      </c>
      <c r="AC14" s="232">
        <f t="shared" si="27"/>
        <v>28.02</v>
      </c>
      <c r="AD14" s="232">
        <f t="shared" si="28"/>
        <v>588.42</v>
      </c>
      <c r="AE14" s="232">
        <f t="shared" si="29"/>
        <v>448.32</v>
      </c>
      <c r="AF14" s="232">
        <f t="shared" si="30"/>
        <v>112.08</v>
      </c>
      <c r="AG14" s="232">
        <f t="shared" si="31"/>
        <v>28.02</v>
      </c>
      <c r="AH14" s="232">
        <f t="shared" si="32"/>
        <v>588.42</v>
      </c>
      <c r="AI14" s="232">
        <f t="shared" si="33"/>
        <v>0</v>
      </c>
      <c r="AJ14" s="242"/>
      <c r="AK14" s="245" t="s">
        <v>58</v>
      </c>
      <c r="AL14" s="178">
        <f>SUM(AL10:AL13)*3</f>
        <v>22458</v>
      </c>
      <c r="AM14" s="178"/>
      <c r="AN14" s="178"/>
    </row>
    <row r="15" spans="1:40" s="176" customFormat="1" ht="13.5" hidden="1">
      <c r="A15" s="186">
        <v>10</v>
      </c>
      <c r="B15" s="186" t="s">
        <v>59</v>
      </c>
      <c r="C15" s="200" t="s">
        <v>63</v>
      </c>
      <c r="D15" s="200" t="s">
        <v>58</v>
      </c>
      <c r="E15" s="195">
        <v>3200</v>
      </c>
      <c r="F15" s="201"/>
      <c r="G15" s="201">
        <v>50</v>
      </c>
      <c r="H15" s="195"/>
      <c r="I15" s="201">
        <v>100</v>
      </c>
      <c r="J15" s="216">
        <v>264</v>
      </c>
      <c r="K15" s="221"/>
      <c r="L15" s="221">
        <v>300</v>
      </c>
      <c r="M15" s="217">
        <f t="shared" si="15"/>
        <v>3914</v>
      </c>
      <c r="N15" s="216">
        <v>4829</v>
      </c>
      <c r="O15" s="218">
        <f t="shared" si="16"/>
        <v>772.64</v>
      </c>
      <c r="P15" s="218">
        <f t="shared" si="17"/>
        <v>410.47</v>
      </c>
      <c r="Q15" s="218">
        <f t="shared" si="18"/>
        <v>24.15</v>
      </c>
      <c r="R15" s="218">
        <f t="shared" si="19"/>
        <v>13.52</v>
      </c>
      <c r="S15" s="218"/>
      <c r="T15" s="218">
        <f t="shared" si="20"/>
        <v>580</v>
      </c>
      <c r="U15" s="218">
        <f t="shared" si="34"/>
        <v>1647.3600000000001</v>
      </c>
      <c r="V15" s="218">
        <f t="shared" si="35"/>
        <v>1235.52</v>
      </c>
      <c r="W15" s="226">
        <v>1200</v>
      </c>
      <c r="X15" s="218">
        <f t="shared" si="23"/>
        <v>6614.780000000001</v>
      </c>
      <c r="Y15" s="226">
        <v>22500</v>
      </c>
      <c r="Z15" s="218">
        <f t="shared" si="36"/>
        <v>106860.24000000002</v>
      </c>
      <c r="AA15" s="232">
        <f t="shared" si="25"/>
        <v>386.32</v>
      </c>
      <c r="AB15" s="232">
        <f t="shared" si="26"/>
        <v>96.58</v>
      </c>
      <c r="AC15" s="232">
        <f t="shared" si="27"/>
        <v>24.15</v>
      </c>
      <c r="AD15" s="232">
        <f t="shared" si="28"/>
        <v>507.04999999999995</v>
      </c>
      <c r="AE15" s="232">
        <f t="shared" si="29"/>
        <v>386.32</v>
      </c>
      <c r="AF15" s="232">
        <f t="shared" si="30"/>
        <v>96.58</v>
      </c>
      <c r="AG15" s="232">
        <f t="shared" si="31"/>
        <v>24.15</v>
      </c>
      <c r="AH15" s="232">
        <f t="shared" si="32"/>
        <v>507.04999999999995</v>
      </c>
      <c r="AI15" s="232">
        <f t="shared" si="33"/>
        <v>0</v>
      </c>
      <c r="AJ15" s="232"/>
      <c r="AK15" s="245" t="s">
        <v>58</v>
      </c>
      <c r="AL15" s="178"/>
      <c r="AM15" s="178"/>
      <c r="AN15" s="178"/>
    </row>
    <row r="16" spans="1:40" s="176" customFormat="1" ht="13.5" hidden="1">
      <c r="A16" s="186">
        <v>11</v>
      </c>
      <c r="B16" s="186"/>
      <c r="C16" s="203" t="s">
        <v>64</v>
      </c>
      <c r="D16" s="200" t="s">
        <v>58</v>
      </c>
      <c r="E16" s="195">
        <v>3200</v>
      </c>
      <c r="F16" s="201"/>
      <c r="G16" s="201">
        <v>40</v>
      </c>
      <c r="H16" s="195"/>
      <c r="I16" s="201">
        <v>100</v>
      </c>
      <c r="J16" s="216">
        <v>264</v>
      </c>
      <c r="K16" s="221"/>
      <c r="L16" s="221">
        <v>300</v>
      </c>
      <c r="M16" s="217">
        <f t="shared" si="15"/>
        <v>3904</v>
      </c>
      <c r="N16" s="216">
        <v>4819</v>
      </c>
      <c r="O16" s="218">
        <f t="shared" si="16"/>
        <v>771.04</v>
      </c>
      <c r="P16" s="218">
        <f t="shared" si="17"/>
        <v>409.62</v>
      </c>
      <c r="Q16" s="218">
        <f t="shared" si="18"/>
        <v>24.1</v>
      </c>
      <c r="R16" s="218">
        <f t="shared" si="19"/>
        <v>13.49</v>
      </c>
      <c r="S16" s="218"/>
      <c r="T16" s="218">
        <f t="shared" si="20"/>
        <v>579</v>
      </c>
      <c r="U16" s="218">
        <f t="shared" si="34"/>
        <v>1644.96</v>
      </c>
      <c r="V16" s="218">
        <f t="shared" si="35"/>
        <v>1233.72</v>
      </c>
      <c r="W16" s="226">
        <v>1200</v>
      </c>
      <c r="X16" s="218">
        <f t="shared" si="23"/>
        <v>6601.25</v>
      </c>
      <c r="Y16" s="226">
        <v>22500</v>
      </c>
      <c r="Z16" s="218">
        <f t="shared" si="36"/>
        <v>106693.68000000001</v>
      </c>
      <c r="AA16" s="232">
        <f t="shared" si="25"/>
        <v>385.52</v>
      </c>
      <c r="AB16" s="232">
        <f t="shared" si="26"/>
        <v>96.38</v>
      </c>
      <c r="AC16" s="232">
        <f t="shared" si="27"/>
        <v>24.1</v>
      </c>
      <c r="AD16" s="232">
        <f t="shared" si="28"/>
        <v>506</v>
      </c>
      <c r="AE16" s="232">
        <f t="shared" si="29"/>
        <v>385.52</v>
      </c>
      <c r="AF16" s="232">
        <f t="shared" si="30"/>
        <v>96.38</v>
      </c>
      <c r="AG16" s="232">
        <f t="shared" si="31"/>
        <v>24.1</v>
      </c>
      <c r="AH16" s="232">
        <f t="shared" si="32"/>
        <v>506</v>
      </c>
      <c r="AI16" s="232">
        <f t="shared" si="33"/>
        <v>0</v>
      </c>
      <c r="AJ16" s="232"/>
      <c r="AK16" s="245" t="s">
        <v>58</v>
      </c>
      <c r="AL16" s="178"/>
      <c r="AM16" s="178"/>
      <c r="AN16" s="178"/>
    </row>
    <row r="17" spans="1:40" s="176" customFormat="1" ht="13.5" hidden="1">
      <c r="A17" s="202"/>
      <c r="B17" s="203"/>
      <c r="C17" s="204" t="s">
        <v>65</v>
      </c>
      <c r="D17" s="203" t="s">
        <v>58</v>
      </c>
      <c r="E17" s="195">
        <v>3200</v>
      </c>
      <c r="F17" s="201"/>
      <c r="G17" s="201" t="s">
        <v>66</v>
      </c>
      <c r="H17" s="195">
        <v>235</v>
      </c>
      <c r="I17" s="201">
        <v>100</v>
      </c>
      <c r="J17" s="216">
        <v>264</v>
      </c>
      <c r="K17" s="221"/>
      <c r="L17" s="221">
        <v>300</v>
      </c>
      <c r="M17" s="217">
        <f t="shared" si="15"/>
        <v>4099</v>
      </c>
      <c r="N17" s="216">
        <v>3699</v>
      </c>
      <c r="O17" s="218">
        <f t="shared" si="16"/>
        <v>628.13</v>
      </c>
      <c r="P17" s="218">
        <f t="shared" si="17"/>
        <v>333.69</v>
      </c>
      <c r="Q17" s="218">
        <f t="shared" si="18"/>
        <v>19.63</v>
      </c>
      <c r="R17" s="218">
        <f t="shared" si="19"/>
        <v>10.99</v>
      </c>
      <c r="S17" s="218"/>
      <c r="T17" s="218">
        <f t="shared" si="20"/>
        <v>444</v>
      </c>
      <c r="U17" s="218">
        <f>((SUM(E17:J17)+W17)*3+L17*1+Y17)*2%</f>
        <v>418.44</v>
      </c>
      <c r="V17" s="218">
        <f>((SUM(E17:J17)+W17)*3+L17*1+Y17)*1.5%</f>
        <v>313.83</v>
      </c>
      <c r="W17" s="226">
        <v>1200</v>
      </c>
      <c r="X17" s="218">
        <f t="shared" si="23"/>
        <v>6435.4400000000005</v>
      </c>
      <c r="Y17" s="226">
        <f>22500/12*3</f>
        <v>5625</v>
      </c>
      <c r="Z17" s="218">
        <f>X17*3+Y17+U17+V17+L17*1</f>
        <v>25963.59</v>
      </c>
      <c r="AA17" s="232">
        <f t="shared" si="25"/>
        <v>295.92</v>
      </c>
      <c r="AB17" s="232">
        <f t="shared" si="26"/>
        <v>73.98</v>
      </c>
      <c r="AC17" s="232">
        <f t="shared" si="27"/>
        <v>18.5</v>
      </c>
      <c r="AD17" s="232">
        <f t="shared" si="28"/>
        <v>388.40000000000003</v>
      </c>
      <c r="AE17" s="232">
        <f t="shared" si="29"/>
        <v>295.92</v>
      </c>
      <c r="AF17" s="232">
        <f t="shared" si="30"/>
        <v>73.98</v>
      </c>
      <c r="AG17" s="232">
        <f t="shared" si="31"/>
        <v>18.5</v>
      </c>
      <c r="AH17" s="232">
        <f t="shared" si="32"/>
        <v>388.40000000000003</v>
      </c>
      <c r="AI17" s="232">
        <f t="shared" si="33"/>
        <v>0</v>
      </c>
      <c r="AJ17" s="232" t="s">
        <v>67</v>
      </c>
      <c r="AK17" s="245" t="s">
        <v>68</v>
      </c>
      <c r="AL17" s="178"/>
      <c r="AM17" s="178"/>
      <c r="AN17" s="178"/>
    </row>
    <row r="18" spans="1:40" s="176" customFormat="1" ht="13.5" hidden="1">
      <c r="A18" s="205" t="s">
        <v>69</v>
      </c>
      <c r="B18" s="206"/>
      <c r="C18" s="206"/>
      <c r="D18" s="207"/>
      <c r="E18" s="199">
        <f aca="true" t="shared" si="37" ref="E18:M18">SUM(E10:E17)</f>
        <v>32600</v>
      </c>
      <c r="F18" s="199">
        <f t="shared" si="37"/>
        <v>0</v>
      </c>
      <c r="G18" s="199">
        <f t="shared" si="37"/>
        <v>1040</v>
      </c>
      <c r="H18" s="199">
        <f t="shared" si="37"/>
        <v>470</v>
      </c>
      <c r="I18" s="199">
        <f t="shared" si="37"/>
        <v>1000</v>
      </c>
      <c r="J18" s="199">
        <f t="shared" si="37"/>
        <v>2112</v>
      </c>
      <c r="K18" s="199">
        <f t="shared" si="37"/>
        <v>0</v>
      </c>
      <c r="L18" s="199">
        <f t="shared" si="37"/>
        <v>2400</v>
      </c>
      <c r="M18" s="219">
        <f t="shared" si="37"/>
        <v>39622</v>
      </c>
      <c r="N18" s="199"/>
      <c r="O18" s="223">
        <f aca="true" t="shared" si="38" ref="O18:Z18">SUM(O10:O17)</f>
        <v>7301.250000000001</v>
      </c>
      <c r="P18" s="223">
        <f t="shared" si="38"/>
        <v>3878.81</v>
      </c>
      <c r="Q18" s="223">
        <f t="shared" si="38"/>
        <v>228.19</v>
      </c>
      <c r="R18" s="223">
        <f t="shared" si="38"/>
        <v>127.76999999999998</v>
      </c>
      <c r="S18" s="223">
        <f t="shared" si="38"/>
        <v>0</v>
      </c>
      <c r="T18" s="223">
        <f t="shared" si="38"/>
        <v>5452</v>
      </c>
      <c r="U18" s="223">
        <f t="shared" si="38"/>
        <v>14265.72</v>
      </c>
      <c r="V18" s="223">
        <f t="shared" si="38"/>
        <v>10699.289999999999</v>
      </c>
      <c r="W18" s="228">
        <f t="shared" si="38"/>
        <v>10300</v>
      </c>
      <c r="X18" s="223">
        <f t="shared" si="38"/>
        <v>64510.020000000004</v>
      </c>
      <c r="Y18" s="227">
        <f t="shared" si="38"/>
        <v>193500</v>
      </c>
      <c r="Z18" s="223">
        <f t="shared" si="38"/>
        <v>921651.99</v>
      </c>
      <c r="AA18" s="238"/>
      <c r="AB18" s="238"/>
      <c r="AC18" s="238"/>
      <c r="AD18" s="238"/>
      <c r="AE18" s="238"/>
      <c r="AF18" s="238"/>
      <c r="AG18" s="238"/>
      <c r="AH18" s="238"/>
      <c r="AI18" s="238"/>
      <c r="AJ18" s="238"/>
      <c r="AK18" s="246"/>
      <c r="AL18" s="178">
        <f>SUM(W10:W16)*12+Y18</f>
        <v>302700</v>
      </c>
      <c r="AM18" s="178"/>
      <c r="AN18" s="178"/>
    </row>
    <row r="19" spans="1:40" s="176" customFormat="1" ht="13.5" hidden="1">
      <c r="A19" s="186">
        <v>12</v>
      </c>
      <c r="B19" s="186" t="s">
        <v>59</v>
      </c>
      <c r="C19" s="186" t="s">
        <v>70</v>
      </c>
      <c r="D19" s="186" t="s">
        <v>52</v>
      </c>
      <c r="E19" s="195">
        <v>5300</v>
      </c>
      <c r="F19" s="195"/>
      <c r="G19" s="201">
        <v>100</v>
      </c>
      <c r="H19" s="195"/>
      <c r="I19" s="195">
        <v>200</v>
      </c>
      <c r="J19" s="216">
        <v>264</v>
      </c>
      <c r="K19" s="216"/>
      <c r="L19" s="216">
        <v>300</v>
      </c>
      <c r="M19" s="217">
        <f aca="true" t="shared" si="39" ref="M19:M25">SUM(E19:L19)</f>
        <v>6164</v>
      </c>
      <c r="N19" s="216">
        <v>7279</v>
      </c>
      <c r="O19" s="218">
        <f aca="true" t="shared" si="40" ref="O19:O23">ROUND(IF(N19&gt;3925.8,N19,3925.8)*16%,2)</f>
        <v>1164.64</v>
      </c>
      <c r="P19" s="218">
        <f aca="true" t="shared" si="41" ref="P19:P23">ROUND(IF(N19&gt;3925.8,N19,3925.8)*8.5%,2)</f>
        <v>618.72</v>
      </c>
      <c r="Q19" s="218">
        <f aca="true" t="shared" si="42" ref="Q19:Q23">ROUND(IF(N19&gt;3925.8,N19,3925.8)*0.5%,2)</f>
        <v>36.4</v>
      </c>
      <c r="R19" s="218">
        <f aca="true" t="shared" si="43" ref="R19:R23">ROUND(IF(N19&gt;3925.8,N19,3925.8)*0.28%,2)</f>
        <v>20.38</v>
      </c>
      <c r="S19" s="218"/>
      <c r="T19" s="218">
        <f aca="true" t="shared" si="44" ref="T19:T23">CEILING(N19*12%,1)</f>
        <v>874</v>
      </c>
      <c r="U19" s="218">
        <f aca="true" t="shared" si="45" ref="U19:U24">((SUM(E19:J19)+W19)*12+L19*7+Y19)*2%</f>
        <v>2559.36</v>
      </c>
      <c r="V19" s="218">
        <f aca="true" t="shared" si="46" ref="V19:V24">((SUM(E19:J19)+W19)*12+L19*7+Y19)*1.5%</f>
        <v>1919.52</v>
      </c>
      <c r="W19" s="226">
        <v>1500</v>
      </c>
      <c r="X19" s="218">
        <f aca="true" t="shared" si="47" ref="X19:X25">SUM(E19:J19)+SUM(O19:T19)+W19</f>
        <v>10078.14</v>
      </c>
      <c r="Y19" s="226">
        <v>37500</v>
      </c>
      <c r="Z19" s="218">
        <f aca="true" t="shared" si="48" ref="Z19:Z24">X19*12+Y19+U19+V19+L19*7</f>
        <v>165016.55999999997</v>
      </c>
      <c r="AA19" s="232">
        <f aca="true" t="shared" si="49" ref="AA19:AA25">ROUND(N19*8%,2)</f>
        <v>582.32</v>
      </c>
      <c r="AB19" s="232">
        <f aca="true" t="shared" si="50" ref="AB19:AB25">ROUND(N19*2%,2)</f>
        <v>145.58</v>
      </c>
      <c r="AC19" s="232">
        <f aca="true" t="shared" si="51" ref="AC19:AC25">ROUND(N19*0.5%,2)</f>
        <v>36.4</v>
      </c>
      <c r="AD19" s="232">
        <f aca="true" t="shared" si="52" ref="AD19:AD25">SUM(AA19:AC19)</f>
        <v>764.3000000000001</v>
      </c>
      <c r="AE19" s="232">
        <f aca="true" t="shared" si="53" ref="AE19:AE25">ROUND(IF(N19&gt;3453*105%,N19,3453*105%)*8%,2)</f>
        <v>582.32</v>
      </c>
      <c r="AF19" s="232">
        <f aca="true" t="shared" si="54" ref="AF19:AF25">ROUND(IF(N19&gt;3453*105%,N19,3453*105%)*2%,2)</f>
        <v>145.58</v>
      </c>
      <c r="AG19" s="232">
        <f aca="true" t="shared" si="55" ref="AG19:AG25">ROUND(IF(N19&gt;3453*105%,N19,3453*105%)*0.5%,2)</f>
        <v>36.4</v>
      </c>
      <c r="AH19" s="232">
        <f aca="true" t="shared" si="56" ref="AH19:AH25">SUM(AE19:AG19)</f>
        <v>764.3000000000001</v>
      </c>
      <c r="AI19" s="232">
        <f aca="true" t="shared" si="57" ref="AI19:AI23">AH19-AD19</f>
        <v>0</v>
      </c>
      <c r="AJ19" s="232"/>
      <c r="AK19" s="245" t="s">
        <v>42</v>
      </c>
      <c r="AL19" s="178">
        <f>SUMIF(AK:AK,"*中层",I:I)</f>
        <v>3100</v>
      </c>
      <c r="AM19" s="178"/>
      <c r="AN19" s="178"/>
    </row>
    <row r="20" spans="1:40" s="176" customFormat="1" ht="13.5" hidden="1">
      <c r="A20" s="186">
        <v>13</v>
      </c>
      <c r="B20" s="186" t="s">
        <v>59</v>
      </c>
      <c r="C20" s="200" t="s">
        <v>71</v>
      </c>
      <c r="D20" s="200" t="s">
        <v>72</v>
      </c>
      <c r="E20" s="195">
        <v>4600</v>
      </c>
      <c r="F20" s="201"/>
      <c r="G20" s="201">
        <v>70</v>
      </c>
      <c r="H20" s="195"/>
      <c r="I20" s="201">
        <v>150</v>
      </c>
      <c r="J20" s="216">
        <v>264</v>
      </c>
      <c r="K20" s="221"/>
      <c r="L20" s="221">
        <v>300</v>
      </c>
      <c r="M20" s="217">
        <f t="shared" si="39"/>
        <v>5384</v>
      </c>
      <c r="N20" s="216">
        <v>4991</v>
      </c>
      <c r="O20" s="218">
        <f t="shared" si="40"/>
        <v>798.56</v>
      </c>
      <c r="P20" s="218">
        <f t="shared" si="41"/>
        <v>424.24</v>
      </c>
      <c r="Q20" s="218">
        <f t="shared" si="42"/>
        <v>24.96</v>
      </c>
      <c r="R20" s="218">
        <f t="shared" si="43"/>
        <v>13.97</v>
      </c>
      <c r="S20" s="218"/>
      <c r="T20" s="218">
        <f t="shared" si="44"/>
        <v>599</v>
      </c>
      <c r="U20" s="218">
        <f t="shared" si="45"/>
        <v>2268.16</v>
      </c>
      <c r="V20" s="218">
        <f t="shared" si="46"/>
        <v>1701.12</v>
      </c>
      <c r="W20" s="226">
        <v>1400</v>
      </c>
      <c r="X20" s="218">
        <f t="shared" si="47"/>
        <v>8344.73</v>
      </c>
      <c r="Y20" s="226">
        <v>33500</v>
      </c>
      <c r="Z20" s="218">
        <f t="shared" si="48"/>
        <v>139706.04</v>
      </c>
      <c r="AA20" s="232">
        <f t="shared" si="49"/>
        <v>399.28</v>
      </c>
      <c r="AB20" s="232">
        <f t="shared" si="50"/>
        <v>99.82</v>
      </c>
      <c r="AC20" s="232">
        <f t="shared" si="51"/>
        <v>24.96</v>
      </c>
      <c r="AD20" s="232">
        <f t="shared" si="52"/>
        <v>524.06</v>
      </c>
      <c r="AE20" s="232">
        <f t="shared" si="53"/>
        <v>399.28</v>
      </c>
      <c r="AF20" s="232">
        <f t="shared" si="54"/>
        <v>99.82</v>
      </c>
      <c r="AG20" s="232">
        <f t="shared" si="55"/>
        <v>24.96</v>
      </c>
      <c r="AH20" s="232">
        <f t="shared" si="56"/>
        <v>524.06</v>
      </c>
      <c r="AI20" s="232">
        <f t="shared" si="57"/>
        <v>0</v>
      </c>
      <c r="AJ20" s="232"/>
      <c r="AK20" s="245" t="s">
        <v>42</v>
      </c>
      <c r="AL20" s="178">
        <f>SUMIF(AK:AK,"*中层",J:J)</f>
        <v>4488</v>
      </c>
      <c r="AM20" s="178"/>
      <c r="AN20" s="178"/>
    </row>
    <row r="21" spans="1:40" s="176" customFormat="1" ht="13.5" hidden="1">
      <c r="A21" s="186">
        <v>14</v>
      </c>
      <c r="B21" s="186" t="s">
        <v>50</v>
      </c>
      <c r="C21" s="200" t="s">
        <v>73</v>
      </c>
      <c r="D21" s="200" t="s">
        <v>58</v>
      </c>
      <c r="E21" s="195">
        <v>3200</v>
      </c>
      <c r="F21" s="201"/>
      <c r="G21" s="201">
        <v>60</v>
      </c>
      <c r="H21" s="195"/>
      <c r="I21" s="201">
        <v>100</v>
      </c>
      <c r="J21" s="216">
        <v>264</v>
      </c>
      <c r="K21" s="221"/>
      <c r="L21" s="221">
        <v>300</v>
      </c>
      <c r="M21" s="217">
        <f t="shared" si="39"/>
        <v>3924</v>
      </c>
      <c r="N21" s="216">
        <v>4699</v>
      </c>
      <c r="O21" s="218">
        <f t="shared" si="40"/>
        <v>751.84</v>
      </c>
      <c r="P21" s="218">
        <f t="shared" si="41"/>
        <v>399.42</v>
      </c>
      <c r="Q21" s="218">
        <f t="shared" si="42"/>
        <v>23.5</v>
      </c>
      <c r="R21" s="218">
        <f t="shared" si="43"/>
        <v>13.16</v>
      </c>
      <c r="S21" s="218"/>
      <c r="T21" s="218">
        <f t="shared" si="44"/>
        <v>564</v>
      </c>
      <c r="U21" s="218">
        <f t="shared" si="45"/>
        <v>1649.76</v>
      </c>
      <c r="V21" s="218">
        <f t="shared" si="46"/>
        <v>1237.32</v>
      </c>
      <c r="W21" s="226">
        <v>1200</v>
      </c>
      <c r="X21" s="218">
        <f t="shared" si="47"/>
        <v>6575.92</v>
      </c>
      <c r="Y21" s="226">
        <v>22500</v>
      </c>
      <c r="Z21" s="218">
        <f t="shared" si="48"/>
        <v>106398.12000000001</v>
      </c>
      <c r="AA21" s="232">
        <f t="shared" si="49"/>
        <v>375.92</v>
      </c>
      <c r="AB21" s="232">
        <f t="shared" si="50"/>
        <v>93.98</v>
      </c>
      <c r="AC21" s="232">
        <f t="shared" si="51"/>
        <v>23.5</v>
      </c>
      <c r="AD21" s="232">
        <f t="shared" si="52"/>
        <v>493.40000000000003</v>
      </c>
      <c r="AE21" s="232">
        <f t="shared" si="53"/>
        <v>375.92</v>
      </c>
      <c r="AF21" s="232">
        <f t="shared" si="54"/>
        <v>93.98</v>
      </c>
      <c r="AG21" s="232">
        <f t="shared" si="55"/>
        <v>23.5</v>
      </c>
      <c r="AH21" s="232">
        <f t="shared" si="56"/>
        <v>493.40000000000003</v>
      </c>
      <c r="AI21" s="232">
        <f t="shared" si="57"/>
        <v>0</v>
      </c>
      <c r="AJ21" s="232"/>
      <c r="AK21" s="245" t="s">
        <v>58</v>
      </c>
      <c r="AL21" s="178"/>
      <c r="AM21" s="178"/>
      <c r="AN21" s="178"/>
    </row>
    <row r="22" spans="1:40" s="176" customFormat="1" ht="13.5" hidden="1">
      <c r="A22" s="186">
        <v>15</v>
      </c>
      <c r="B22" s="186" t="s">
        <v>59</v>
      </c>
      <c r="C22" s="200" t="s">
        <v>74</v>
      </c>
      <c r="D22" s="200" t="s">
        <v>58</v>
      </c>
      <c r="E22" s="195">
        <v>3200</v>
      </c>
      <c r="F22" s="201"/>
      <c r="G22" s="201">
        <v>40</v>
      </c>
      <c r="H22" s="195"/>
      <c r="I22" s="201">
        <v>100</v>
      </c>
      <c r="J22" s="216">
        <v>264</v>
      </c>
      <c r="K22" s="221"/>
      <c r="L22" s="216">
        <v>300</v>
      </c>
      <c r="M22" s="217">
        <f t="shared" si="39"/>
        <v>3904</v>
      </c>
      <c r="N22" s="216">
        <v>4819</v>
      </c>
      <c r="O22" s="218">
        <f t="shared" si="40"/>
        <v>771.04</v>
      </c>
      <c r="P22" s="218">
        <f t="shared" si="41"/>
        <v>409.62</v>
      </c>
      <c r="Q22" s="218">
        <f t="shared" si="42"/>
        <v>24.1</v>
      </c>
      <c r="R22" s="218">
        <f t="shared" si="43"/>
        <v>13.49</v>
      </c>
      <c r="S22" s="218"/>
      <c r="T22" s="218">
        <f t="shared" si="44"/>
        <v>579</v>
      </c>
      <c r="U22" s="218">
        <f t="shared" si="45"/>
        <v>1644.96</v>
      </c>
      <c r="V22" s="218">
        <f t="shared" si="46"/>
        <v>1233.72</v>
      </c>
      <c r="W22" s="226">
        <v>1200</v>
      </c>
      <c r="X22" s="218">
        <f t="shared" si="47"/>
        <v>6601.25</v>
      </c>
      <c r="Y22" s="226">
        <v>22500</v>
      </c>
      <c r="Z22" s="218">
        <f t="shared" si="48"/>
        <v>106693.68000000001</v>
      </c>
      <c r="AA22" s="232">
        <f t="shared" si="49"/>
        <v>385.52</v>
      </c>
      <c r="AB22" s="232">
        <f t="shared" si="50"/>
        <v>96.38</v>
      </c>
      <c r="AC22" s="232">
        <f t="shared" si="51"/>
        <v>24.1</v>
      </c>
      <c r="AD22" s="232">
        <f t="shared" si="52"/>
        <v>506</v>
      </c>
      <c r="AE22" s="232">
        <f t="shared" si="53"/>
        <v>385.52</v>
      </c>
      <c r="AF22" s="232">
        <f t="shared" si="54"/>
        <v>96.38</v>
      </c>
      <c r="AG22" s="232">
        <f t="shared" si="55"/>
        <v>24.1</v>
      </c>
      <c r="AH22" s="232">
        <f t="shared" si="56"/>
        <v>506</v>
      </c>
      <c r="AI22" s="232">
        <f t="shared" si="57"/>
        <v>0</v>
      </c>
      <c r="AJ22" s="232"/>
      <c r="AK22" s="245" t="s">
        <v>58</v>
      </c>
      <c r="AL22" s="178"/>
      <c r="AM22" s="178"/>
      <c r="AN22" s="178"/>
    </row>
    <row r="23" spans="1:40" s="176" customFormat="1" ht="13.5" hidden="1">
      <c r="A23" s="186">
        <v>16</v>
      </c>
      <c r="B23" s="186"/>
      <c r="C23" s="203" t="s">
        <v>75</v>
      </c>
      <c r="D23" s="200" t="s">
        <v>58</v>
      </c>
      <c r="E23" s="195">
        <v>3200</v>
      </c>
      <c r="F23" s="201"/>
      <c r="G23" s="201">
        <v>20</v>
      </c>
      <c r="H23" s="195"/>
      <c r="I23" s="201">
        <v>100</v>
      </c>
      <c r="J23" s="216">
        <v>264</v>
      </c>
      <c r="K23" s="221"/>
      <c r="L23" s="216">
        <v>300</v>
      </c>
      <c r="M23" s="217">
        <f t="shared" si="39"/>
        <v>3884</v>
      </c>
      <c r="N23" s="216">
        <v>4784</v>
      </c>
      <c r="O23" s="218">
        <f t="shared" si="40"/>
        <v>765.44</v>
      </c>
      <c r="P23" s="218">
        <f t="shared" si="41"/>
        <v>406.64</v>
      </c>
      <c r="Q23" s="218">
        <f t="shared" si="42"/>
        <v>23.92</v>
      </c>
      <c r="R23" s="218">
        <f t="shared" si="43"/>
        <v>13.4</v>
      </c>
      <c r="S23" s="218"/>
      <c r="T23" s="218">
        <f t="shared" si="44"/>
        <v>575</v>
      </c>
      <c r="U23" s="218">
        <f t="shared" si="45"/>
        <v>1640.16</v>
      </c>
      <c r="V23" s="218">
        <f t="shared" si="46"/>
        <v>1230.12</v>
      </c>
      <c r="W23" s="226">
        <v>1200</v>
      </c>
      <c r="X23" s="218">
        <f t="shared" si="47"/>
        <v>6568.4</v>
      </c>
      <c r="Y23" s="226">
        <v>22500</v>
      </c>
      <c r="Z23" s="218">
        <f t="shared" si="48"/>
        <v>106291.07999999999</v>
      </c>
      <c r="AA23" s="232">
        <f t="shared" si="49"/>
        <v>382.72</v>
      </c>
      <c r="AB23" s="232">
        <f t="shared" si="50"/>
        <v>95.68</v>
      </c>
      <c r="AC23" s="232">
        <f t="shared" si="51"/>
        <v>23.92</v>
      </c>
      <c r="AD23" s="232">
        <f t="shared" si="52"/>
        <v>502.32000000000005</v>
      </c>
      <c r="AE23" s="232">
        <f t="shared" si="53"/>
        <v>382.72</v>
      </c>
      <c r="AF23" s="232">
        <f t="shared" si="54"/>
        <v>95.68</v>
      </c>
      <c r="AG23" s="232">
        <f t="shared" si="55"/>
        <v>23.92</v>
      </c>
      <c r="AH23" s="232">
        <f t="shared" si="56"/>
        <v>502.32000000000005</v>
      </c>
      <c r="AI23" s="232">
        <f t="shared" si="57"/>
        <v>0</v>
      </c>
      <c r="AJ23" s="232"/>
      <c r="AK23" s="245" t="s">
        <v>58</v>
      </c>
      <c r="AL23" s="178"/>
      <c r="AM23" s="178"/>
      <c r="AN23" s="178"/>
    </row>
    <row r="24" spans="1:37" s="178" customFormat="1" ht="13.5" hidden="1">
      <c r="A24" s="186"/>
      <c r="B24" s="208"/>
      <c r="C24" s="209" t="s">
        <v>76</v>
      </c>
      <c r="D24" s="210" t="s">
        <v>57</v>
      </c>
      <c r="E24" s="195">
        <v>700</v>
      </c>
      <c r="F24" s="201"/>
      <c r="G24" s="201"/>
      <c r="H24" s="195"/>
      <c r="I24" s="201"/>
      <c r="J24" s="216"/>
      <c r="K24" s="221"/>
      <c r="L24" s="216"/>
      <c r="M24" s="217">
        <f t="shared" si="39"/>
        <v>700</v>
      </c>
      <c r="N24" s="216"/>
      <c r="O24" s="218"/>
      <c r="P24" s="218"/>
      <c r="Q24" s="218"/>
      <c r="R24" s="218"/>
      <c r="S24" s="218"/>
      <c r="T24" s="218"/>
      <c r="U24" s="218">
        <f t="shared" si="45"/>
        <v>312</v>
      </c>
      <c r="V24" s="218">
        <f t="shared" si="46"/>
        <v>234</v>
      </c>
      <c r="W24" s="226">
        <v>100</v>
      </c>
      <c r="X24" s="218">
        <f t="shared" si="47"/>
        <v>800</v>
      </c>
      <c r="Y24" s="226">
        <v>6000</v>
      </c>
      <c r="Z24" s="218">
        <f t="shared" si="48"/>
        <v>16146</v>
      </c>
      <c r="AA24" s="232">
        <f t="shared" si="49"/>
        <v>0</v>
      </c>
      <c r="AB24" s="232">
        <f t="shared" si="50"/>
        <v>0</v>
      </c>
      <c r="AC24" s="232">
        <f t="shared" si="51"/>
        <v>0</v>
      </c>
      <c r="AD24" s="232">
        <f t="shared" si="52"/>
        <v>0</v>
      </c>
      <c r="AE24" s="232">
        <f t="shared" si="53"/>
        <v>290.05</v>
      </c>
      <c r="AF24" s="232">
        <f t="shared" si="54"/>
        <v>72.51</v>
      </c>
      <c r="AG24" s="232">
        <f t="shared" si="55"/>
        <v>18.13</v>
      </c>
      <c r="AH24" s="232">
        <f t="shared" si="56"/>
        <v>380.69</v>
      </c>
      <c r="AI24" s="232"/>
      <c r="AJ24" s="232" t="s">
        <v>77</v>
      </c>
      <c r="AK24" s="245" t="s">
        <v>58</v>
      </c>
    </row>
    <row r="25" spans="1:40" s="176" customFormat="1" ht="13.5" hidden="1">
      <c r="A25" s="186">
        <v>17</v>
      </c>
      <c r="B25" s="203"/>
      <c r="C25" s="194" t="s">
        <v>78</v>
      </c>
      <c r="D25" s="203" t="s">
        <v>58</v>
      </c>
      <c r="E25" s="195">
        <v>3200</v>
      </c>
      <c r="F25" s="201"/>
      <c r="G25" s="201" t="s">
        <v>66</v>
      </c>
      <c r="H25" s="195"/>
      <c r="I25" s="201">
        <v>100</v>
      </c>
      <c r="J25" s="216">
        <v>264</v>
      </c>
      <c r="K25" s="221"/>
      <c r="L25" s="216">
        <v>300</v>
      </c>
      <c r="M25" s="217">
        <f t="shared" si="39"/>
        <v>3864</v>
      </c>
      <c r="N25" s="216">
        <v>3464</v>
      </c>
      <c r="O25" s="218">
        <f aca="true" t="shared" si="58" ref="O25:O30">ROUND(IF(N25&gt;3925.8,N25,3925.8)*16%,2)</f>
        <v>628.13</v>
      </c>
      <c r="P25" s="218">
        <f aca="true" t="shared" si="59" ref="P25:P30">ROUND(IF(N25&gt;3925.8,N25,3925.8)*8.5%,2)</f>
        <v>333.69</v>
      </c>
      <c r="Q25" s="218">
        <f aca="true" t="shared" si="60" ref="Q25:Q30">ROUND(IF(N25&gt;3925.8,N25,3925.8)*0.5%,2)</f>
        <v>19.63</v>
      </c>
      <c r="R25" s="218">
        <f aca="true" t="shared" si="61" ref="R25:R30">ROUND(IF(N25&gt;3925.8,N25,3925.8)*0.28%,2)</f>
        <v>10.99</v>
      </c>
      <c r="S25" s="218"/>
      <c r="T25" s="218">
        <f aca="true" t="shared" si="62" ref="T25:T30">CEILING(N25*12%,1)</f>
        <v>416</v>
      </c>
      <c r="U25" s="218">
        <f>((SUM(E25:J25)+W25)*9+L25*7+Y25)*2%</f>
        <v>1237.02</v>
      </c>
      <c r="V25" s="218">
        <f>((SUM(E25:J25)+W25)*9+L25*7+Y25)*1.5%</f>
        <v>927.765</v>
      </c>
      <c r="W25" s="226">
        <v>1200</v>
      </c>
      <c r="X25" s="218">
        <f t="shared" si="47"/>
        <v>6172.4400000000005</v>
      </c>
      <c r="Y25" s="226">
        <f>22500/4*3</f>
        <v>16875</v>
      </c>
      <c r="Z25" s="218">
        <f>X25*9+Y25+U25+V25+L25*7</f>
        <v>76691.74500000001</v>
      </c>
      <c r="AA25" s="232">
        <f t="shared" si="49"/>
        <v>277.12</v>
      </c>
      <c r="AB25" s="232">
        <f t="shared" si="50"/>
        <v>69.28</v>
      </c>
      <c r="AC25" s="232">
        <f t="shared" si="51"/>
        <v>17.32</v>
      </c>
      <c r="AD25" s="232">
        <f t="shared" si="52"/>
        <v>363.71999999999997</v>
      </c>
      <c r="AE25" s="232">
        <f t="shared" si="53"/>
        <v>290.05</v>
      </c>
      <c r="AF25" s="232">
        <f t="shared" si="54"/>
        <v>72.51</v>
      </c>
      <c r="AG25" s="232">
        <f t="shared" si="55"/>
        <v>18.13</v>
      </c>
      <c r="AH25" s="232">
        <f t="shared" si="56"/>
        <v>380.69</v>
      </c>
      <c r="AI25" s="232">
        <f aca="true" t="shared" si="63" ref="AI25:AI30">AH25-AD25</f>
        <v>16.970000000000027</v>
      </c>
      <c r="AJ25" s="232" t="s">
        <v>79</v>
      </c>
      <c r="AK25" s="245" t="s">
        <v>80</v>
      </c>
      <c r="AL25" s="178"/>
      <c r="AM25" s="178"/>
      <c r="AN25" s="178"/>
    </row>
    <row r="26" spans="1:40" s="176" customFormat="1" ht="13.5" hidden="1">
      <c r="A26" s="205" t="s">
        <v>81</v>
      </c>
      <c r="B26" s="206"/>
      <c r="C26" s="206"/>
      <c r="D26" s="207"/>
      <c r="E26" s="199">
        <f aca="true" t="shared" si="64" ref="E26:M26">SUM(E19:E25)</f>
        <v>23400</v>
      </c>
      <c r="F26" s="199">
        <f t="shared" si="64"/>
        <v>0</v>
      </c>
      <c r="G26" s="199">
        <f t="shared" si="64"/>
        <v>290</v>
      </c>
      <c r="H26" s="199">
        <f t="shared" si="64"/>
        <v>0</v>
      </c>
      <c r="I26" s="199">
        <f t="shared" si="64"/>
        <v>750</v>
      </c>
      <c r="J26" s="199">
        <f t="shared" si="64"/>
        <v>1584</v>
      </c>
      <c r="K26" s="199">
        <f t="shared" si="64"/>
        <v>0</v>
      </c>
      <c r="L26" s="199">
        <f t="shared" si="64"/>
        <v>1800</v>
      </c>
      <c r="M26" s="219">
        <f t="shared" si="64"/>
        <v>27824</v>
      </c>
      <c r="N26" s="199"/>
      <c r="O26" s="223">
        <f aca="true" t="shared" si="65" ref="O26:Z26">SUM(O19:O25)</f>
        <v>4879.650000000001</v>
      </c>
      <c r="P26" s="223">
        <f t="shared" si="65"/>
        <v>2592.33</v>
      </c>
      <c r="Q26" s="223">
        <f t="shared" si="65"/>
        <v>152.51</v>
      </c>
      <c r="R26" s="223">
        <f t="shared" si="65"/>
        <v>85.39</v>
      </c>
      <c r="S26" s="223">
        <f t="shared" si="65"/>
        <v>0</v>
      </c>
      <c r="T26" s="223">
        <f t="shared" si="65"/>
        <v>3607</v>
      </c>
      <c r="U26" s="223">
        <f t="shared" si="65"/>
        <v>11311.420000000002</v>
      </c>
      <c r="V26" s="223">
        <f t="shared" si="65"/>
        <v>8483.565</v>
      </c>
      <c r="W26" s="228">
        <f t="shared" si="65"/>
        <v>7800</v>
      </c>
      <c r="X26" s="223">
        <f t="shared" si="65"/>
        <v>45140.880000000005</v>
      </c>
      <c r="Y26" s="228">
        <f t="shared" si="65"/>
        <v>161375</v>
      </c>
      <c r="Z26" s="223">
        <f t="shared" si="65"/>
        <v>716943.225</v>
      </c>
      <c r="AA26" s="238">
        <f>(F26+W26)*12+Y26</f>
        <v>254975</v>
      </c>
      <c r="AB26" s="238"/>
      <c r="AC26" s="238"/>
      <c r="AD26" s="238"/>
      <c r="AE26" s="238"/>
      <c r="AF26" s="238"/>
      <c r="AG26" s="238"/>
      <c r="AH26" s="238"/>
      <c r="AI26" s="238"/>
      <c r="AJ26" s="238"/>
      <c r="AK26" s="246"/>
      <c r="AL26" s="178">
        <f>SUM(W19:W24)*12+W25*9+Y26</f>
        <v>251375</v>
      </c>
      <c r="AM26" s="178"/>
      <c r="AN26" s="178"/>
    </row>
    <row r="27" spans="1:38" s="178" customFormat="1" ht="13.5" hidden="1">
      <c r="A27" s="186">
        <v>18</v>
      </c>
      <c r="B27" s="186" t="s">
        <v>50</v>
      </c>
      <c r="C27" s="186" t="s">
        <v>82</v>
      </c>
      <c r="D27" s="186" t="s">
        <v>52</v>
      </c>
      <c r="E27" s="195">
        <v>5300</v>
      </c>
      <c r="F27" s="195"/>
      <c r="G27" s="201">
        <v>370</v>
      </c>
      <c r="H27" s="195">
        <v>220</v>
      </c>
      <c r="I27" s="195">
        <v>200</v>
      </c>
      <c r="J27" s="216">
        <v>264</v>
      </c>
      <c r="K27" s="216"/>
      <c r="L27" s="216">
        <v>300</v>
      </c>
      <c r="M27" s="217">
        <f aca="true" t="shared" si="66" ref="M27:M31">SUM(E27:L27)</f>
        <v>6654</v>
      </c>
      <c r="N27" s="216">
        <v>7661</v>
      </c>
      <c r="O27" s="218">
        <f t="shared" si="58"/>
        <v>1225.76</v>
      </c>
      <c r="P27" s="218">
        <f t="shared" si="59"/>
        <v>651.19</v>
      </c>
      <c r="Q27" s="218">
        <f t="shared" si="60"/>
        <v>38.31</v>
      </c>
      <c r="R27" s="218">
        <f t="shared" si="61"/>
        <v>21.45</v>
      </c>
      <c r="S27" s="218"/>
      <c r="T27" s="218">
        <f t="shared" si="62"/>
        <v>920</v>
      </c>
      <c r="U27" s="218">
        <f aca="true" t="shared" si="67" ref="U27:U31">((SUM(E27:J27)+W27)*12+L27*7+Y27)*2%</f>
        <v>2676.96</v>
      </c>
      <c r="V27" s="218">
        <f aca="true" t="shared" si="68" ref="V27:V31">((SUM(E27:J27)+W27)*12+L27*7+Y27)*1.5%</f>
        <v>2007.72</v>
      </c>
      <c r="W27" s="226">
        <v>1500</v>
      </c>
      <c r="X27" s="218">
        <f aca="true" t="shared" si="69" ref="X27:X31">SUM(E27:J27)+SUM(O27:T27)+W27</f>
        <v>10710.71</v>
      </c>
      <c r="Y27" s="226">
        <v>37500</v>
      </c>
      <c r="Z27" s="218">
        <f aca="true" t="shared" si="70" ref="Z27:Z31">X27*12+Y27+U27+V27+L27*7</f>
        <v>172813.19999999998</v>
      </c>
      <c r="AA27" s="232">
        <f aca="true" t="shared" si="71" ref="AA27:AA31">ROUND(N27*8%,2)</f>
        <v>612.88</v>
      </c>
      <c r="AB27" s="232">
        <f aca="true" t="shared" si="72" ref="AB27:AB31">ROUND(N27*2%,2)</f>
        <v>153.22</v>
      </c>
      <c r="AC27" s="232">
        <f aca="true" t="shared" si="73" ref="AC27:AC31">ROUND(N27*0.5%,2)</f>
        <v>38.31</v>
      </c>
      <c r="AD27" s="232">
        <f aca="true" t="shared" si="74" ref="AD27:AD31">SUM(AA27:AC27)</f>
        <v>804.4100000000001</v>
      </c>
      <c r="AE27" s="232">
        <f aca="true" t="shared" si="75" ref="AE27:AE31">ROUND(IF(N27&gt;3453*105%,N27,3453*105%)*8%,2)</f>
        <v>612.88</v>
      </c>
      <c r="AF27" s="232">
        <f aca="true" t="shared" si="76" ref="AF27:AF31">ROUND(IF(N27&gt;3453*105%,N27,3453*105%)*2%,2)</f>
        <v>153.22</v>
      </c>
      <c r="AG27" s="232">
        <f aca="true" t="shared" si="77" ref="AG27:AG31">ROUND(IF(N27&gt;3453*105%,N27,3453*105%)*0.5%,2)</f>
        <v>38.31</v>
      </c>
      <c r="AH27" s="232">
        <f aca="true" t="shared" si="78" ref="AH27:AH31">SUM(AE27:AG27)</f>
        <v>804.4100000000001</v>
      </c>
      <c r="AI27" s="232">
        <f t="shared" si="63"/>
        <v>0</v>
      </c>
      <c r="AJ27" s="232"/>
      <c r="AK27" s="245" t="s">
        <v>42</v>
      </c>
      <c r="AL27" s="178">
        <f>SUMIF(AK:AK,"*中层",L:L)</f>
        <v>5100</v>
      </c>
    </row>
    <row r="28" spans="1:40" s="176" customFormat="1" ht="14.25" hidden="1">
      <c r="A28" s="186">
        <v>19</v>
      </c>
      <c r="B28" s="186" t="s">
        <v>83</v>
      </c>
      <c r="C28" s="186" t="s">
        <v>84</v>
      </c>
      <c r="D28" s="200" t="s">
        <v>72</v>
      </c>
      <c r="E28" s="195">
        <v>4600</v>
      </c>
      <c r="F28" s="201"/>
      <c r="G28" s="201">
        <v>130</v>
      </c>
      <c r="H28" s="195">
        <v>220</v>
      </c>
      <c r="I28" s="195">
        <v>150</v>
      </c>
      <c r="J28" s="216">
        <v>264</v>
      </c>
      <c r="K28" s="221"/>
      <c r="L28" s="221">
        <v>300</v>
      </c>
      <c r="M28" s="217">
        <f t="shared" si="66"/>
        <v>5664</v>
      </c>
      <c r="N28" s="216">
        <v>6013</v>
      </c>
      <c r="O28" s="218">
        <f t="shared" si="58"/>
        <v>962.08</v>
      </c>
      <c r="P28" s="218">
        <f t="shared" si="59"/>
        <v>511.11</v>
      </c>
      <c r="Q28" s="218">
        <f t="shared" si="60"/>
        <v>30.07</v>
      </c>
      <c r="R28" s="218">
        <f t="shared" si="61"/>
        <v>16.84</v>
      </c>
      <c r="S28" s="218"/>
      <c r="T28" s="218">
        <f t="shared" si="62"/>
        <v>722</v>
      </c>
      <c r="U28" s="218">
        <f t="shared" si="67"/>
        <v>2335.36</v>
      </c>
      <c r="V28" s="218">
        <f t="shared" si="68"/>
        <v>1751.52</v>
      </c>
      <c r="W28" s="226">
        <v>1400</v>
      </c>
      <c r="X28" s="218">
        <f t="shared" si="69"/>
        <v>9006.1</v>
      </c>
      <c r="Y28" s="226">
        <v>33500</v>
      </c>
      <c r="Z28" s="218">
        <f t="shared" si="70"/>
        <v>147760.08</v>
      </c>
      <c r="AA28" s="232">
        <f t="shared" si="71"/>
        <v>481.04</v>
      </c>
      <c r="AB28" s="232">
        <f t="shared" si="72"/>
        <v>120.26</v>
      </c>
      <c r="AC28" s="232">
        <f t="shared" si="73"/>
        <v>30.07</v>
      </c>
      <c r="AD28" s="232">
        <f t="shared" si="74"/>
        <v>631.3700000000001</v>
      </c>
      <c r="AE28" s="232">
        <f t="shared" si="75"/>
        <v>481.04</v>
      </c>
      <c r="AF28" s="232">
        <f t="shared" si="76"/>
        <v>120.26</v>
      </c>
      <c r="AG28" s="232">
        <f t="shared" si="77"/>
        <v>30.07</v>
      </c>
      <c r="AH28" s="232">
        <f t="shared" si="78"/>
        <v>631.3700000000001</v>
      </c>
      <c r="AI28" s="232">
        <f t="shared" si="63"/>
        <v>0</v>
      </c>
      <c r="AJ28" s="242"/>
      <c r="AK28" s="245" t="s">
        <v>42</v>
      </c>
      <c r="AL28" s="178">
        <f>SUMIF(AK:AK,"*中层",G:G)</f>
        <v>3190</v>
      </c>
      <c r="AM28" s="178"/>
      <c r="AN28" s="178"/>
    </row>
    <row r="29" spans="1:40" s="176" customFormat="1" ht="13.5" hidden="1">
      <c r="A29" s="186">
        <v>20</v>
      </c>
      <c r="B29" s="186" t="s">
        <v>50</v>
      </c>
      <c r="C29" s="186" t="s">
        <v>85</v>
      </c>
      <c r="D29" s="186" t="s">
        <v>58</v>
      </c>
      <c r="E29" s="195">
        <v>3900</v>
      </c>
      <c r="F29" s="201"/>
      <c r="G29" s="201">
        <v>130</v>
      </c>
      <c r="H29" s="195">
        <v>720</v>
      </c>
      <c r="I29" s="195">
        <v>100</v>
      </c>
      <c r="J29" s="216">
        <v>264</v>
      </c>
      <c r="K29" s="216"/>
      <c r="L29" s="216">
        <v>300</v>
      </c>
      <c r="M29" s="217">
        <f t="shared" si="66"/>
        <v>5414</v>
      </c>
      <c r="N29" s="216">
        <v>5979</v>
      </c>
      <c r="O29" s="218">
        <f t="shared" si="58"/>
        <v>956.64</v>
      </c>
      <c r="P29" s="218">
        <f t="shared" si="59"/>
        <v>508.22</v>
      </c>
      <c r="Q29" s="218">
        <f t="shared" si="60"/>
        <v>29.9</v>
      </c>
      <c r="R29" s="218">
        <f t="shared" si="61"/>
        <v>16.74</v>
      </c>
      <c r="S29" s="218"/>
      <c r="T29" s="218">
        <f t="shared" si="62"/>
        <v>718</v>
      </c>
      <c r="U29" s="218">
        <f t="shared" si="67"/>
        <v>2007.3600000000001</v>
      </c>
      <c r="V29" s="218">
        <f t="shared" si="68"/>
        <v>1505.52</v>
      </c>
      <c r="W29" s="226">
        <v>1200</v>
      </c>
      <c r="X29" s="218">
        <f t="shared" si="69"/>
        <v>8543.5</v>
      </c>
      <c r="Y29" s="226">
        <v>22500</v>
      </c>
      <c r="Z29" s="218">
        <f t="shared" si="70"/>
        <v>130634.88</v>
      </c>
      <c r="AA29" s="232">
        <f t="shared" si="71"/>
        <v>478.32</v>
      </c>
      <c r="AB29" s="232">
        <f t="shared" si="72"/>
        <v>119.58</v>
      </c>
      <c r="AC29" s="232">
        <f t="shared" si="73"/>
        <v>29.9</v>
      </c>
      <c r="AD29" s="232">
        <f t="shared" si="74"/>
        <v>627.8</v>
      </c>
      <c r="AE29" s="232">
        <f t="shared" si="75"/>
        <v>478.32</v>
      </c>
      <c r="AF29" s="232">
        <f t="shared" si="76"/>
        <v>119.58</v>
      </c>
      <c r="AG29" s="232">
        <f t="shared" si="77"/>
        <v>29.9</v>
      </c>
      <c r="AH29" s="232">
        <f t="shared" si="78"/>
        <v>627.8</v>
      </c>
      <c r="AI29" s="232">
        <f t="shared" si="63"/>
        <v>0</v>
      </c>
      <c r="AJ29" s="232"/>
      <c r="AK29" s="245" t="s">
        <v>58</v>
      </c>
      <c r="AL29" s="178"/>
      <c r="AM29" s="178"/>
      <c r="AN29" s="178"/>
    </row>
    <row r="30" spans="1:40" s="176" customFormat="1" ht="13.5" hidden="1">
      <c r="A30" s="186">
        <v>21</v>
      </c>
      <c r="B30" s="186" t="s">
        <v>59</v>
      </c>
      <c r="C30" s="200" t="s">
        <v>86</v>
      </c>
      <c r="D30" s="186" t="s">
        <v>58</v>
      </c>
      <c r="E30" s="195">
        <v>3200</v>
      </c>
      <c r="F30" s="201"/>
      <c r="G30" s="201">
        <v>110</v>
      </c>
      <c r="H30" s="195">
        <v>220</v>
      </c>
      <c r="I30" s="201">
        <v>100</v>
      </c>
      <c r="J30" s="216">
        <v>264</v>
      </c>
      <c r="K30" s="221"/>
      <c r="L30" s="216">
        <v>300</v>
      </c>
      <c r="M30" s="217">
        <f t="shared" si="66"/>
        <v>4194</v>
      </c>
      <c r="N30" s="216">
        <v>4299</v>
      </c>
      <c r="O30" s="218">
        <f t="shared" si="58"/>
        <v>687.84</v>
      </c>
      <c r="P30" s="218">
        <f t="shared" si="59"/>
        <v>365.42</v>
      </c>
      <c r="Q30" s="218">
        <f t="shared" si="60"/>
        <v>21.5</v>
      </c>
      <c r="R30" s="218">
        <f t="shared" si="61"/>
        <v>12.04</v>
      </c>
      <c r="S30" s="218"/>
      <c r="T30" s="218">
        <f t="shared" si="62"/>
        <v>516</v>
      </c>
      <c r="U30" s="218">
        <f t="shared" si="67"/>
        <v>1714.56</v>
      </c>
      <c r="V30" s="218">
        <f t="shared" si="68"/>
        <v>1285.9199999999998</v>
      </c>
      <c r="W30" s="226">
        <v>1200</v>
      </c>
      <c r="X30" s="218">
        <f t="shared" si="69"/>
        <v>6696.8</v>
      </c>
      <c r="Y30" s="226">
        <v>22500</v>
      </c>
      <c r="Z30" s="218">
        <f t="shared" si="70"/>
        <v>107962.08</v>
      </c>
      <c r="AA30" s="232">
        <f t="shared" si="71"/>
        <v>343.92</v>
      </c>
      <c r="AB30" s="232">
        <f t="shared" si="72"/>
        <v>85.98</v>
      </c>
      <c r="AC30" s="232">
        <f t="shared" si="73"/>
        <v>21.5</v>
      </c>
      <c r="AD30" s="232">
        <f t="shared" si="74"/>
        <v>451.40000000000003</v>
      </c>
      <c r="AE30" s="232">
        <f t="shared" si="75"/>
        <v>343.92</v>
      </c>
      <c r="AF30" s="232">
        <f t="shared" si="76"/>
        <v>85.98</v>
      </c>
      <c r="AG30" s="232">
        <f t="shared" si="77"/>
        <v>21.5</v>
      </c>
      <c r="AH30" s="232">
        <f t="shared" si="78"/>
        <v>451.40000000000003</v>
      </c>
      <c r="AI30" s="232">
        <f t="shared" si="63"/>
        <v>0</v>
      </c>
      <c r="AJ30" s="232"/>
      <c r="AK30" s="245" t="s">
        <v>58</v>
      </c>
      <c r="AL30" s="178"/>
      <c r="AM30" s="178"/>
      <c r="AN30" s="178"/>
    </row>
    <row r="31" spans="1:40" s="176" customFormat="1" ht="13.5" hidden="1">
      <c r="A31" s="186"/>
      <c r="B31" s="186"/>
      <c r="C31" s="211" t="s">
        <v>76</v>
      </c>
      <c r="D31" s="186" t="s">
        <v>57</v>
      </c>
      <c r="E31" s="195">
        <v>700</v>
      </c>
      <c r="F31" s="201"/>
      <c r="G31" s="201" t="s">
        <v>66</v>
      </c>
      <c r="H31" s="195"/>
      <c r="I31" s="201"/>
      <c r="J31" s="216"/>
      <c r="K31" s="221"/>
      <c r="L31" s="216"/>
      <c r="M31" s="217">
        <f t="shared" si="66"/>
        <v>700</v>
      </c>
      <c r="N31" s="216"/>
      <c r="O31" s="218"/>
      <c r="P31" s="218"/>
      <c r="Q31" s="218"/>
      <c r="R31" s="218"/>
      <c r="S31" s="218"/>
      <c r="T31" s="218"/>
      <c r="U31" s="218">
        <f t="shared" si="67"/>
        <v>312</v>
      </c>
      <c r="V31" s="218">
        <f t="shared" si="68"/>
        <v>234</v>
      </c>
      <c r="W31" s="226">
        <v>100</v>
      </c>
      <c r="X31" s="218">
        <f t="shared" si="69"/>
        <v>800</v>
      </c>
      <c r="Y31" s="226">
        <f>28500-22500</f>
        <v>6000</v>
      </c>
      <c r="Z31" s="218">
        <f t="shared" si="70"/>
        <v>16146</v>
      </c>
      <c r="AA31" s="232">
        <f t="shared" si="71"/>
        <v>0</v>
      </c>
      <c r="AB31" s="232">
        <f t="shared" si="72"/>
        <v>0</v>
      </c>
      <c r="AC31" s="232">
        <f t="shared" si="73"/>
        <v>0</v>
      </c>
      <c r="AD31" s="232">
        <f t="shared" si="74"/>
        <v>0</v>
      </c>
      <c r="AE31" s="232">
        <f t="shared" si="75"/>
        <v>290.05</v>
      </c>
      <c r="AF31" s="232">
        <f t="shared" si="76"/>
        <v>72.51</v>
      </c>
      <c r="AG31" s="232">
        <f t="shared" si="77"/>
        <v>18.13</v>
      </c>
      <c r="AH31" s="232">
        <f t="shared" si="78"/>
        <v>380.69</v>
      </c>
      <c r="AI31" s="232"/>
      <c r="AJ31" s="232" t="s">
        <v>77</v>
      </c>
      <c r="AK31" s="245" t="s">
        <v>58</v>
      </c>
      <c r="AL31" s="178"/>
      <c r="AM31" s="178"/>
      <c r="AN31" s="178"/>
    </row>
    <row r="32" spans="1:40" s="176" customFormat="1" ht="14.25" hidden="1">
      <c r="A32" s="205" t="s">
        <v>87</v>
      </c>
      <c r="B32" s="206"/>
      <c r="C32" s="206"/>
      <c r="D32" s="207"/>
      <c r="E32" s="199">
        <f aca="true" t="shared" si="79" ref="E32:M32">SUM(E27:E31)</f>
        <v>17700</v>
      </c>
      <c r="F32" s="199">
        <f t="shared" si="79"/>
        <v>0</v>
      </c>
      <c r="G32" s="199">
        <f t="shared" si="79"/>
        <v>740</v>
      </c>
      <c r="H32" s="199">
        <f t="shared" si="79"/>
        <v>1380</v>
      </c>
      <c r="I32" s="199">
        <f t="shared" si="79"/>
        <v>550</v>
      </c>
      <c r="J32" s="199">
        <f t="shared" si="79"/>
        <v>1056</v>
      </c>
      <c r="K32" s="199">
        <f t="shared" si="79"/>
        <v>0</v>
      </c>
      <c r="L32" s="199">
        <f t="shared" si="79"/>
        <v>1200</v>
      </c>
      <c r="M32" s="219">
        <f t="shared" si="79"/>
        <v>22626</v>
      </c>
      <c r="N32" s="199"/>
      <c r="O32" s="223">
        <f aca="true" t="shared" si="80" ref="O32:Z32">SUM(O27:O31)</f>
        <v>3832.32</v>
      </c>
      <c r="P32" s="223">
        <f t="shared" si="80"/>
        <v>2035.9400000000003</v>
      </c>
      <c r="Q32" s="223">
        <f t="shared" si="80"/>
        <v>119.78</v>
      </c>
      <c r="R32" s="223">
        <f t="shared" si="80"/>
        <v>67.07</v>
      </c>
      <c r="S32" s="223">
        <f t="shared" si="80"/>
        <v>0</v>
      </c>
      <c r="T32" s="223">
        <f t="shared" si="80"/>
        <v>2876</v>
      </c>
      <c r="U32" s="223">
        <f t="shared" si="80"/>
        <v>9046.24</v>
      </c>
      <c r="V32" s="223">
        <f t="shared" si="80"/>
        <v>6784.68</v>
      </c>
      <c r="W32" s="228">
        <f t="shared" si="80"/>
        <v>5400</v>
      </c>
      <c r="X32" s="223">
        <f t="shared" si="80"/>
        <v>35757.11</v>
      </c>
      <c r="Y32" s="228">
        <f t="shared" si="80"/>
        <v>122000</v>
      </c>
      <c r="Z32" s="223">
        <f t="shared" si="80"/>
        <v>575316.24</v>
      </c>
      <c r="AA32" s="238">
        <f>(F32+W32)*12+Y32</f>
        <v>186800</v>
      </c>
      <c r="AB32" s="238"/>
      <c r="AC32" s="238"/>
      <c r="AD32" s="238"/>
      <c r="AE32" s="238"/>
      <c r="AF32" s="238"/>
      <c r="AG32" s="238"/>
      <c r="AH32" s="238"/>
      <c r="AI32" s="238">
        <f>SUM(AI27:AI29)</f>
        <v>0</v>
      </c>
      <c r="AJ32" s="247"/>
      <c r="AK32" s="248"/>
      <c r="AL32" s="178">
        <f>SUM(W27:W31)*12+Y32</f>
        <v>186800</v>
      </c>
      <c r="AM32" s="178"/>
      <c r="AN32" s="178"/>
    </row>
    <row r="33" spans="1:40" s="176" customFormat="1" ht="14.25" hidden="1">
      <c r="A33" s="186">
        <v>22</v>
      </c>
      <c r="B33" s="186"/>
      <c r="C33" s="186" t="s">
        <v>88</v>
      </c>
      <c r="D33" s="186" t="s">
        <v>89</v>
      </c>
      <c r="E33" s="195">
        <v>5300</v>
      </c>
      <c r="F33" s="195"/>
      <c r="G33" s="201">
        <v>130</v>
      </c>
      <c r="H33" s="195">
        <v>200</v>
      </c>
      <c r="I33" s="195">
        <v>200</v>
      </c>
      <c r="J33" s="195">
        <v>264</v>
      </c>
      <c r="K33" s="195"/>
      <c r="L33" s="195">
        <v>300</v>
      </c>
      <c r="M33" s="217">
        <f aca="true" t="shared" si="81" ref="M33:M38">SUM(E33:L33)</f>
        <v>6394</v>
      </c>
      <c r="N33" s="216">
        <v>7509</v>
      </c>
      <c r="O33" s="218">
        <f aca="true" t="shared" si="82" ref="O33:O38">ROUND(IF(N33&gt;3925.8,N33,3925.8)*16%,2)</f>
        <v>1201.44</v>
      </c>
      <c r="P33" s="218">
        <f aca="true" t="shared" si="83" ref="P33:P38">ROUND(IF(N33&gt;3925.8,N33,3925.8)*8.5%,2)</f>
        <v>638.27</v>
      </c>
      <c r="Q33" s="218">
        <f aca="true" t="shared" si="84" ref="Q33:Q38">ROUND(IF(N33&gt;3925.8,N33,3925.8)*0.5%,2)</f>
        <v>37.55</v>
      </c>
      <c r="R33" s="218">
        <f aca="true" t="shared" si="85" ref="R33:R38">ROUND(IF(N33&gt;3925.8,N33,3925.8)*0.28%,2)</f>
        <v>21.03</v>
      </c>
      <c r="S33" s="218"/>
      <c r="T33" s="218">
        <f aca="true" t="shared" si="86" ref="T33:T38">CEILING(N33*12%,1)</f>
        <v>902</v>
      </c>
      <c r="U33" s="218">
        <f aca="true" t="shared" si="87" ref="U33:U37">((SUM(E33:J33)+W33)*12+L33*7+Y33)*2%</f>
        <v>2614.56</v>
      </c>
      <c r="V33" s="218">
        <f aca="true" t="shared" si="88" ref="V33:V37">((SUM(E33:J33)+W33)*12+L33*7+Y33)*1.5%</f>
        <v>1960.9199999999998</v>
      </c>
      <c r="W33" s="226">
        <v>1500</v>
      </c>
      <c r="X33" s="218">
        <f aca="true" t="shared" si="89" ref="X33:X38">SUM(E33:J33)+SUM(O33:T33)+W33</f>
        <v>10394.29</v>
      </c>
      <c r="Y33" s="226">
        <v>37500</v>
      </c>
      <c r="Z33" s="218">
        <f aca="true" t="shared" si="90" ref="Z33:Z37">X33*12+Y33+U33+V33+L33*7</f>
        <v>168906.96000000002</v>
      </c>
      <c r="AA33" s="232">
        <f aca="true" t="shared" si="91" ref="AA33:AA38">ROUND(N33*8%,2)</f>
        <v>600.72</v>
      </c>
      <c r="AB33" s="232">
        <f aca="true" t="shared" si="92" ref="AB33:AB38">ROUND(N33*2%,2)</f>
        <v>150.18</v>
      </c>
      <c r="AC33" s="232">
        <f aca="true" t="shared" si="93" ref="AC33:AC38">ROUND(N33*0.5%,2)</f>
        <v>37.55</v>
      </c>
      <c r="AD33" s="232">
        <f aca="true" t="shared" si="94" ref="AD33:AD38">SUM(AA33:AC33)</f>
        <v>788.45</v>
      </c>
      <c r="AE33" s="232">
        <f aca="true" t="shared" si="95" ref="AE33:AE38">ROUND(IF(N33&gt;3453*105%,N33,3453*105%)*8%,2)</f>
        <v>600.72</v>
      </c>
      <c r="AF33" s="232">
        <f aca="true" t="shared" si="96" ref="AF33:AF38">ROUND(IF(N33&gt;3453*105%,N33,3453*105%)*2%,2)</f>
        <v>150.18</v>
      </c>
      <c r="AG33" s="232">
        <f aca="true" t="shared" si="97" ref="AG33:AG38">ROUND(IF(N33&gt;3453*105%,N33,3453*105%)*0.5%,2)</f>
        <v>37.55</v>
      </c>
      <c r="AH33" s="232">
        <f aca="true" t="shared" si="98" ref="AH33:AH38">SUM(AE33:AG33)</f>
        <v>788.45</v>
      </c>
      <c r="AI33" s="232">
        <f aca="true" t="shared" si="99" ref="AI33:AI38">AH33-AD33</f>
        <v>0</v>
      </c>
      <c r="AJ33" s="242"/>
      <c r="AK33" s="245" t="s">
        <v>42</v>
      </c>
      <c r="AL33" s="178">
        <f>SUBTOTAL(9,AL11:AL28)*3</f>
        <v>1799691</v>
      </c>
      <c r="AM33" s="178"/>
      <c r="AN33" s="178"/>
    </row>
    <row r="34" spans="1:40" s="176" customFormat="1" ht="13.5" hidden="1">
      <c r="A34" s="186">
        <v>23</v>
      </c>
      <c r="B34" s="186" t="s">
        <v>59</v>
      </c>
      <c r="C34" s="200" t="s">
        <v>90</v>
      </c>
      <c r="D34" s="200" t="s">
        <v>57</v>
      </c>
      <c r="E34" s="195">
        <v>3900</v>
      </c>
      <c r="F34" s="201"/>
      <c r="G34" s="201">
        <v>80</v>
      </c>
      <c r="H34" s="195"/>
      <c r="I34" s="201">
        <v>100</v>
      </c>
      <c r="J34" s="216">
        <v>264</v>
      </c>
      <c r="K34" s="221"/>
      <c r="L34" s="221">
        <v>300</v>
      </c>
      <c r="M34" s="217">
        <f t="shared" si="81"/>
        <v>4644</v>
      </c>
      <c r="N34" s="216">
        <v>5719</v>
      </c>
      <c r="O34" s="218">
        <f t="shared" si="82"/>
        <v>915.04</v>
      </c>
      <c r="P34" s="218">
        <f t="shared" si="83"/>
        <v>486.12</v>
      </c>
      <c r="Q34" s="218">
        <f t="shared" si="84"/>
        <v>28.6</v>
      </c>
      <c r="R34" s="218">
        <f t="shared" si="85"/>
        <v>16.01</v>
      </c>
      <c r="S34" s="218"/>
      <c r="T34" s="218">
        <f t="shared" si="86"/>
        <v>687</v>
      </c>
      <c r="U34" s="218">
        <f t="shared" si="87"/>
        <v>1966.56</v>
      </c>
      <c r="V34" s="218">
        <f t="shared" si="88"/>
        <v>1474.9199999999998</v>
      </c>
      <c r="W34" s="226">
        <v>1300</v>
      </c>
      <c r="X34" s="218">
        <f t="shared" si="89"/>
        <v>7776.7699999999995</v>
      </c>
      <c r="Y34" s="226">
        <v>28500</v>
      </c>
      <c r="Z34" s="218">
        <f t="shared" si="90"/>
        <v>127362.71999999999</v>
      </c>
      <c r="AA34" s="232">
        <f t="shared" si="91"/>
        <v>457.52</v>
      </c>
      <c r="AB34" s="232">
        <f t="shared" si="92"/>
        <v>114.38</v>
      </c>
      <c r="AC34" s="232">
        <f t="shared" si="93"/>
        <v>28.6</v>
      </c>
      <c r="AD34" s="232">
        <f t="shared" si="94"/>
        <v>600.5</v>
      </c>
      <c r="AE34" s="232">
        <f t="shared" si="95"/>
        <v>457.52</v>
      </c>
      <c r="AF34" s="232">
        <f t="shared" si="96"/>
        <v>114.38</v>
      </c>
      <c r="AG34" s="232">
        <f t="shared" si="97"/>
        <v>28.6</v>
      </c>
      <c r="AH34" s="232">
        <f t="shared" si="98"/>
        <v>600.5</v>
      </c>
      <c r="AI34" s="232">
        <f t="shared" si="99"/>
        <v>0</v>
      </c>
      <c r="AJ34" s="232"/>
      <c r="AK34" s="245" t="s">
        <v>58</v>
      </c>
      <c r="AL34" s="178"/>
      <c r="AM34" s="178"/>
      <c r="AN34" s="178"/>
    </row>
    <row r="35" spans="1:40" s="176" customFormat="1" ht="13.5" hidden="1">
      <c r="A35" s="186">
        <v>24</v>
      </c>
      <c r="B35" s="186" t="s">
        <v>59</v>
      </c>
      <c r="C35" s="200" t="s">
        <v>91</v>
      </c>
      <c r="D35" s="186" t="s">
        <v>58</v>
      </c>
      <c r="E35" s="195">
        <v>3200</v>
      </c>
      <c r="F35" s="201"/>
      <c r="G35" s="201">
        <v>50</v>
      </c>
      <c r="H35" s="195"/>
      <c r="I35" s="201">
        <v>100</v>
      </c>
      <c r="J35" s="216">
        <v>264</v>
      </c>
      <c r="K35" s="221"/>
      <c r="L35" s="216">
        <v>300</v>
      </c>
      <c r="M35" s="217">
        <f t="shared" si="81"/>
        <v>3914</v>
      </c>
      <c r="N35" s="216">
        <v>4829</v>
      </c>
      <c r="O35" s="218">
        <f t="shared" si="82"/>
        <v>772.64</v>
      </c>
      <c r="P35" s="218">
        <f t="shared" si="83"/>
        <v>410.47</v>
      </c>
      <c r="Q35" s="218">
        <f t="shared" si="84"/>
        <v>24.15</v>
      </c>
      <c r="R35" s="218">
        <f t="shared" si="85"/>
        <v>13.52</v>
      </c>
      <c r="S35" s="218"/>
      <c r="T35" s="218">
        <f t="shared" si="86"/>
        <v>580</v>
      </c>
      <c r="U35" s="218">
        <f t="shared" si="87"/>
        <v>1647.3600000000001</v>
      </c>
      <c r="V35" s="218">
        <f t="shared" si="88"/>
        <v>1235.52</v>
      </c>
      <c r="W35" s="226">
        <v>1200</v>
      </c>
      <c r="X35" s="218">
        <f t="shared" si="89"/>
        <v>6614.780000000001</v>
      </c>
      <c r="Y35" s="226">
        <v>22500</v>
      </c>
      <c r="Z35" s="218">
        <f t="shared" si="90"/>
        <v>106860.24000000002</v>
      </c>
      <c r="AA35" s="232">
        <f t="shared" si="91"/>
        <v>386.32</v>
      </c>
      <c r="AB35" s="232">
        <f t="shared" si="92"/>
        <v>96.58</v>
      </c>
      <c r="AC35" s="232">
        <f t="shared" si="93"/>
        <v>24.15</v>
      </c>
      <c r="AD35" s="232">
        <f t="shared" si="94"/>
        <v>507.04999999999995</v>
      </c>
      <c r="AE35" s="232">
        <f t="shared" si="95"/>
        <v>386.32</v>
      </c>
      <c r="AF35" s="232">
        <f t="shared" si="96"/>
        <v>96.58</v>
      </c>
      <c r="AG35" s="232">
        <f t="shared" si="97"/>
        <v>24.15</v>
      </c>
      <c r="AH35" s="232">
        <f t="shared" si="98"/>
        <v>507.04999999999995</v>
      </c>
      <c r="AI35" s="232">
        <f t="shared" si="99"/>
        <v>0</v>
      </c>
      <c r="AJ35" s="232"/>
      <c r="AK35" s="245" t="s">
        <v>58</v>
      </c>
      <c r="AL35" s="178"/>
      <c r="AM35" s="178"/>
      <c r="AN35" s="178"/>
    </row>
    <row r="36" spans="1:40" s="176" customFormat="1" ht="14.25" hidden="1">
      <c r="A36" s="186">
        <v>25</v>
      </c>
      <c r="B36" s="186"/>
      <c r="C36" s="212" t="s">
        <v>92</v>
      </c>
      <c r="D36" s="186" t="s">
        <v>58</v>
      </c>
      <c r="E36" s="195">
        <v>3200</v>
      </c>
      <c r="F36" s="201"/>
      <c r="G36" s="201">
        <v>20</v>
      </c>
      <c r="H36" s="195"/>
      <c r="I36" s="195">
        <v>100</v>
      </c>
      <c r="J36" s="216">
        <v>264</v>
      </c>
      <c r="K36" s="195"/>
      <c r="L36" s="195">
        <v>300</v>
      </c>
      <c r="M36" s="217">
        <f t="shared" si="81"/>
        <v>3884</v>
      </c>
      <c r="N36" s="216">
        <v>4352</v>
      </c>
      <c r="O36" s="218">
        <f t="shared" si="82"/>
        <v>696.32</v>
      </c>
      <c r="P36" s="218">
        <f t="shared" si="83"/>
        <v>369.92</v>
      </c>
      <c r="Q36" s="218">
        <f t="shared" si="84"/>
        <v>21.76</v>
      </c>
      <c r="R36" s="218">
        <f t="shared" si="85"/>
        <v>12.19</v>
      </c>
      <c r="S36" s="218"/>
      <c r="T36" s="218">
        <f t="shared" si="86"/>
        <v>523</v>
      </c>
      <c r="U36" s="218">
        <f t="shared" si="87"/>
        <v>1640.16</v>
      </c>
      <c r="V36" s="218">
        <f t="shared" si="88"/>
        <v>1230.12</v>
      </c>
      <c r="W36" s="226">
        <v>1200</v>
      </c>
      <c r="X36" s="218">
        <f t="shared" si="89"/>
        <v>6407.1900000000005</v>
      </c>
      <c r="Y36" s="226">
        <v>22500</v>
      </c>
      <c r="Z36" s="218">
        <f t="shared" si="90"/>
        <v>104356.56</v>
      </c>
      <c r="AA36" s="232">
        <f t="shared" si="91"/>
        <v>348.16</v>
      </c>
      <c r="AB36" s="232">
        <f t="shared" si="92"/>
        <v>87.04</v>
      </c>
      <c r="AC36" s="232">
        <f t="shared" si="93"/>
        <v>21.76</v>
      </c>
      <c r="AD36" s="232">
        <f t="shared" si="94"/>
        <v>456.96000000000004</v>
      </c>
      <c r="AE36" s="232">
        <f t="shared" si="95"/>
        <v>348.16</v>
      </c>
      <c r="AF36" s="232">
        <f t="shared" si="96"/>
        <v>87.04</v>
      </c>
      <c r="AG36" s="232">
        <f t="shared" si="97"/>
        <v>21.76</v>
      </c>
      <c r="AH36" s="232">
        <f t="shared" si="98"/>
        <v>456.96000000000004</v>
      </c>
      <c r="AI36" s="232">
        <f t="shared" si="99"/>
        <v>0</v>
      </c>
      <c r="AJ36" s="242"/>
      <c r="AK36" s="245" t="s">
        <v>58</v>
      </c>
      <c r="AL36" s="178"/>
      <c r="AM36" s="178"/>
      <c r="AN36" s="178"/>
    </row>
    <row r="37" spans="1:40" s="176" customFormat="1" ht="14.25" hidden="1">
      <c r="A37" s="186">
        <v>26</v>
      </c>
      <c r="B37" s="186"/>
      <c r="C37" s="212" t="s">
        <v>93</v>
      </c>
      <c r="D37" s="186" t="s">
        <v>58</v>
      </c>
      <c r="E37" s="195">
        <v>3200</v>
      </c>
      <c r="F37" s="201"/>
      <c r="G37" s="195">
        <v>10</v>
      </c>
      <c r="H37" s="195"/>
      <c r="I37" s="195">
        <v>100</v>
      </c>
      <c r="J37" s="216">
        <v>264</v>
      </c>
      <c r="K37" s="195"/>
      <c r="L37" s="195">
        <v>300</v>
      </c>
      <c r="M37" s="217">
        <f t="shared" si="81"/>
        <v>3874</v>
      </c>
      <c r="N37" s="216">
        <v>3729</v>
      </c>
      <c r="O37" s="218">
        <f t="shared" si="82"/>
        <v>628.13</v>
      </c>
      <c r="P37" s="218">
        <f t="shared" si="83"/>
        <v>333.69</v>
      </c>
      <c r="Q37" s="218">
        <f t="shared" si="84"/>
        <v>19.63</v>
      </c>
      <c r="R37" s="218">
        <f t="shared" si="85"/>
        <v>10.99</v>
      </c>
      <c r="S37" s="218"/>
      <c r="T37" s="218">
        <f t="shared" si="86"/>
        <v>448</v>
      </c>
      <c r="U37" s="218">
        <f t="shared" si="87"/>
        <v>1637.76</v>
      </c>
      <c r="V37" s="218">
        <f t="shared" si="88"/>
        <v>1228.32</v>
      </c>
      <c r="W37" s="226">
        <v>1200</v>
      </c>
      <c r="X37" s="218">
        <f t="shared" si="89"/>
        <v>6214.4400000000005</v>
      </c>
      <c r="Y37" s="226">
        <v>22500</v>
      </c>
      <c r="Z37" s="218">
        <f t="shared" si="90"/>
        <v>102039.36</v>
      </c>
      <c r="AA37" s="232">
        <f t="shared" si="91"/>
        <v>298.32</v>
      </c>
      <c r="AB37" s="232">
        <f t="shared" si="92"/>
        <v>74.58</v>
      </c>
      <c r="AC37" s="232">
        <f t="shared" si="93"/>
        <v>18.65</v>
      </c>
      <c r="AD37" s="232">
        <f t="shared" si="94"/>
        <v>391.54999999999995</v>
      </c>
      <c r="AE37" s="232">
        <f t="shared" si="95"/>
        <v>298.32</v>
      </c>
      <c r="AF37" s="232">
        <f t="shared" si="96"/>
        <v>74.58</v>
      </c>
      <c r="AG37" s="232">
        <f t="shared" si="97"/>
        <v>18.65</v>
      </c>
      <c r="AH37" s="232">
        <f t="shared" si="98"/>
        <v>391.54999999999995</v>
      </c>
      <c r="AI37" s="232">
        <f t="shared" si="99"/>
        <v>0</v>
      </c>
      <c r="AJ37" s="242"/>
      <c r="AK37" s="245" t="s">
        <v>58</v>
      </c>
      <c r="AL37" s="178"/>
      <c r="AM37" s="178"/>
      <c r="AN37" s="178"/>
    </row>
    <row r="38" spans="1:40" s="176" customFormat="1" ht="13.5" hidden="1">
      <c r="A38" s="186">
        <v>27</v>
      </c>
      <c r="B38" s="186"/>
      <c r="C38" s="213" t="s">
        <v>94</v>
      </c>
      <c r="D38" s="186" t="s">
        <v>95</v>
      </c>
      <c r="E38" s="195">
        <v>4600</v>
      </c>
      <c r="F38" s="201"/>
      <c r="G38" s="195">
        <v>50</v>
      </c>
      <c r="H38" s="195"/>
      <c r="I38" s="195">
        <v>150</v>
      </c>
      <c r="J38" s="216">
        <v>264</v>
      </c>
      <c r="K38" s="195"/>
      <c r="L38" s="195">
        <v>300</v>
      </c>
      <c r="M38" s="217">
        <f t="shared" si="81"/>
        <v>5364</v>
      </c>
      <c r="N38" s="216">
        <v>4864</v>
      </c>
      <c r="O38" s="218">
        <f t="shared" si="82"/>
        <v>778.24</v>
      </c>
      <c r="P38" s="218">
        <f t="shared" si="83"/>
        <v>413.44</v>
      </c>
      <c r="Q38" s="218">
        <f t="shared" si="84"/>
        <v>24.32</v>
      </c>
      <c r="R38" s="218">
        <f t="shared" si="85"/>
        <v>13.62</v>
      </c>
      <c r="S38" s="218"/>
      <c r="T38" s="218">
        <f t="shared" si="86"/>
        <v>584</v>
      </c>
      <c r="U38" s="218">
        <f>((SUM(E38:J38)+W38)*9+L38*7+Y38)*2%</f>
        <v>1708.02</v>
      </c>
      <c r="V38" s="218">
        <f>((SUM(E38:J38)+W38)*9+L38*7+Y38)*1.5%</f>
        <v>1281.0149999999999</v>
      </c>
      <c r="W38" s="226">
        <v>1400</v>
      </c>
      <c r="X38" s="218">
        <f t="shared" si="89"/>
        <v>8277.619999999999</v>
      </c>
      <c r="Y38" s="226">
        <f>33500/4*3</f>
        <v>25125</v>
      </c>
      <c r="Z38" s="218">
        <f>X38*9+Y38+U38+V38+L38*7</f>
        <v>104712.61499999999</v>
      </c>
      <c r="AA38" s="232">
        <f t="shared" si="91"/>
        <v>389.12</v>
      </c>
      <c r="AB38" s="232">
        <f t="shared" si="92"/>
        <v>97.28</v>
      </c>
      <c r="AC38" s="232">
        <f t="shared" si="93"/>
        <v>24.32</v>
      </c>
      <c r="AD38" s="232">
        <f t="shared" si="94"/>
        <v>510.71999999999997</v>
      </c>
      <c r="AE38" s="232">
        <f t="shared" si="95"/>
        <v>389.12</v>
      </c>
      <c r="AF38" s="232">
        <f t="shared" si="96"/>
        <v>97.28</v>
      </c>
      <c r="AG38" s="232">
        <f t="shared" si="97"/>
        <v>24.32</v>
      </c>
      <c r="AH38" s="232">
        <f t="shared" si="98"/>
        <v>510.71999999999997</v>
      </c>
      <c r="AI38" s="232">
        <f t="shared" si="99"/>
        <v>0</v>
      </c>
      <c r="AJ38" s="232" t="s">
        <v>96</v>
      </c>
      <c r="AK38" s="244" t="s">
        <v>97</v>
      </c>
      <c r="AL38" s="178"/>
      <c r="AM38" s="178"/>
      <c r="AN38" s="178"/>
    </row>
    <row r="39" spans="1:40" s="176" customFormat="1" ht="14.25" hidden="1">
      <c r="A39" s="205" t="s">
        <v>98</v>
      </c>
      <c r="B39" s="206"/>
      <c r="C39" s="206"/>
      <c r="D39" s="207"/>
      <c r="E39" s="199">
        <f aca="true" t="shared" si="100" ref="E39:M39">SUM(E33:E38)</f>
        <v>23400</v>
      </c>
      <c r="F39" s="199">
        <f t="shared" si="100"/>
        <v>0</v>
      </c>
      <c r="G39" s="199">
        <f t="shared" si="100"/>
        <v>340</v>
      </c>
      <c r="H39" s="199">
        <f t="shared" si="100"/>
        <v>200</v>
      </c>
      <c r="I39" s="199">
        <f t="shared" si="100"/>
        <v>750</v>
      </c>
      <c r="J39" s="199">
        <f t="shared" si="100"/>
        <v>1584</v>
      </c>
      <c r="K39" s="199">
        <f t="shared" si="100"/>
        <v>0</v>
      </c>
      <c r="L39" s="199">
        <f t="shared" si="100"/>
        <v>1800</v>
      </c>
      <c r="M39" s="219">
        <f t="shared" si="100"/>
        <v>28074</v>
      </c>
      <c r="N39" s="199"/>
      <c r="O39" s="223">
        <f aca="true" t="shared" si="101" ref="O39:Z39">SUM(O33:O38)</f>
        <v>4991.8099999999995</v>
      </c>
      <c r="P39" s="223">
        <f t="shared" si="101"/>
        <v>2651.91</v>
      </c>
      <c r="Q39" s="223">
        <f t="shared" si="101"/>
        <v>156.01000000000002</v>
      </c>
      <c r="R39" s="223">
        <f t="shared" si="101"/>
        <v>87.36</v>
      </c>
      <c r="S39" s="223">
        <f t="shared" si="101"/>
        <v>0</v>
      </c>
      <c r="T39" s="223">
        <f t="shared" si="101"/>
        <v>3724</v>
      </c>
      <c r="U39" s="223">
        <f t="shared" si="101"/>
        <v>11214.42</v>
      </c>
      <c r="V39" s="223">
        <f t="shared" si="101"/>
        <v>8410.814999999999</v>
      </c>
      <c r="W39" s="228">
        <f t="shared" si="101"/>
        <v>7800</v>
      </c>
      <c r="X39" s="223">
        <f t="shared" si="101"/>
        <v>45685.09000000001</v>
      </c>
      <c r="Y39" s="228">
        <f t="shared" si="101"/>
        <v>158625</v>
      </c>
      <c r="Z39" s="223">
        <f t="shared" si="101"/>
        <v>714238.4550000001</v>
      </c>
      <c r="AA39" s="238">
        <f>(F39+W39)*12+Y39</f>
        <v>252225</v>
      </c>
      <c r="AB39" s="238"/>
      <c r="AC39" s="238"/>
      <c r="AD39" s="238"/>
      <c r="AE39" s="238"/>
      <c r="AF39" s="238"/>
      <c r="AG39" s="238"/>
      <c r="AH39" s="238"/>
      <c r="AI39" s="238"/>
      <c r="AJ39" s="247"/>
      <c r="AK39" s="248"/>
      <c r="AL39" s="178">
        <f>SUM(W33:W37)*12+W38*9+Y39</f>
        <v>248025</v>
      </c>
      <c r="AM39" s="178"/>
      <c r="AN39" s="178"/>
    </row>
    <row r="40" spans="1:40" s="176" customFormat="1" ht="13.5" hidden="1">
      <c r="A40" s="186">
        <v>28</v>
      </c>
      <c r="B40" s="186" t="s">
        <v>99</v>
      </c>
      <c r="C40" s="186" t="s">
        <v>100</v>
      </c>
      <c r="D40" s="186" t="s">
        <v>101</v>
      </c>
      <c r="E40" s="195">
        <v>6000</v>
      </c>
      <c r="F40" s="195"/>
      <c r="G40" s="201">
        <v>330</v>
      </c>
      <c r="H40" s="195"/>
      <c r="I40" s="195">
        <v>200</v>
      </c>
      <c r="J40" s="216">
        <v>264</v>
      </c>
      <c r="K40" s="216"/>
      <c r="L40" s="216">
        <v>300</v>
      </c>
      <c r="M40" s="217">
        <f aca="true" t="shared" si="102" ref="M40:M55">SUM(E40:L40)</f>
        <v>7094</v>
      </c>
      <c r="N40" s="216">
        <v>8319</v>
      </c>
      <c r="O40" s="218">
        <f aca="true" t="shared" si="103" ref="O40:O52">ROUND(IF(N40&gt;3925.8,N40,3925.8)*16%,2)</f>
        <v>1331.04</v>
      </c>
      <c r="P40" s="218">
        <f aca="true" t="shared" si="104" ref="P40:P52">ROUND(IF(N40&gt;3925.8,N40,3925.8)*8.5%,2)</f>
        <v>707.12</v>
      </c>
      <c r="Q40" s="218">
        <f aca="true" t="shared" si="105" ref="Q40:Q52">ROUND(IF(N40&gt;3925.8,N40,3925.8)*0.5%,2)</f>
        <v>41.6</v>
      </c>
      <c r="R40" s="218">
        <f aca="true" t="shared" si="106" ref="R40:R52">ROUND(IF(N40&gt;3925.8,N40,3925.8)*0.28%,2)</f>
        <v>23.29</v>
      </c>
      <c r="S40" s="218"/>
      <c r="T40" s="218">
        <f aca="true" t="shared" si="107" ref="T40:T52">CEILING(N40*12%,1)</f>
        <v>999</v>
      </c>
      <c r="U40" s="218">
        <f aca="true" t="shared" si="108" ref="U40:U53">((SUM(E40:J40)+W40)*12+L40*7+Y40)*2%</f>
        <v>2866.56</v>
      </c>
      <c r="V40" s="218">
        <f aca="true" t="shared" si="109" ref="V40:V53">((SUM(E40:J40)+W40)*12+L40*7+Y40)*1.5%</f>
        <v>2149.92</v>
      </c>
      <c r="W40" s="226">
        <v>1600</v>
      </c>
      <c r="X40" s="218">
        <f aca="true" t="shared" si="110" ref="X40:X55">SUM(E40:J40)+SUM(O40:T40)+W40</f>
        <v>11496.05</v>
      </c>
      <c r="Y40" s="226">
        <v>40500</v>
      </c>
      <c r="Z40" s="218">
        <f aca="true" t="shared" si="111" ref="Z40:Z53">X40*12+Y40+U40+V40+L40*7</f>
        <v>185569.08</v>
      </c>
      <c r="AA40" s="232">
        <f aca="true" t="shared" si="112" ref="AA40:AA52">ROUND(N40*8%,2)</f>
        <v>665.52</v>
      </c>
      <c r="AB40" s="232">
        <f aca="true" t="shared" si="113" ref="AB40:AB52">ROUND(N40*2%,2)</f>
        <v>166.38</v>
      </c>
      <c r="AC40" s="232">
        <f aca="true" t="shared" si="114" ref="AC40:AC52">ROUND(N40*0.5%,2)</f>
        <v>41.6</v>
      </c>
      <c r="AD40" s="232">
        <f aca="true" t="shared" si="115" ref="AD40:AD52">SUM(AA40:AC40)</f>
        <v>873.5</v>
      </c>
      <c r="AE40" s="232">
        <f aca="true" t="shared" si="116" ref="AE40:AE52">ROUND(IF(N40&gt;3453*105%,N40,3453*105%)*8%,2)</f>
        <v>665.52</v>
      </c>
      <c r="AF40" s="232">
        <f aca="true" t="shared" si="117" ref="AF40:AF52">ROUND(IF(N40&gt;3453*105%,N40,3453*105%)*2%,2)</f>
        <v>166.38</v>
      </c>
      <c r="AG40" s="232">
        <f aca="true" t="shared" si="118" ref="AG40:AG52">ROUND(IF(N40&gt;3453*105%,N40,3453*105%)*0.5%,2)</f>
        <v>41.6</v>
      </c>
      <c r="AH40" s="232">
        <f aca="true" t="shared" si="119" ref="AH40:AH52">SUM(AE40:AG40)</f>
        <v>873.5</v>
      </c>
      <c r="AI40" s="232">
        <f aca="true" t="shared" si="120" ref="AI40:AI52">AH40-AD40</f>
        <v>0</v>
      </c>
      <c r="AJ40" s="232"/>
      <c r="AK40" s="245" t="s">
        <v>42</v>
      </c>
      <c r="AL40" s="178"/>
      <c r="AM40" s="178"/>
      <c r="AN40" s="178"/>
    </row>
    <row r="41" spans="1:40" s="176" customFormat="1" ht="13.5" hidden="1">
      <c r="A41" s="186">
        <v>29</v>
      </c>
      <c r="B41" s="186" t="s">
        <v>53</v>
      </c>
      <c r="C41" s="186" t="s">
        <v>102</v>
      </c>
      <c r="D41" s="186" t="s">
        <v>55</v>
      </c>
      <c r="E41" s="195">
        <v>5300</v>
      </c>
      <c r="F41" s="195"/>
      <c r="G41" s="201">
        <v>330</v>
      </c>
      <c r="H41" s="195"/>
      <c r="I41" s="195">
        <v>200</v>
      </c>
      <c r="J41" s="216">
        <v>264</v>
      </c>
      <c r="K41" s="216"/>
      <c r="L41" s="216">
        <v>300</v>
      </c>
      <c r="M41" s="217">
        <f t="shared" si="102"/>
        <v>6394</v>
      </c>
      <c r="N41" s="216">
        <v>7559</v>
      </c>
      <c r="O41" s="218">
        <f t="shared" si="103"/>
        <v>1209.44</v>
      </c>
      <c r="P41" s="218">
        <f t="shared" si="104"/>
        <v>642.52</v>
      </c>
      <c r="Q41" s="218">
        <f t="shared" si="105"/>
        <v>37.8</v>
      </c>
      <c r="R41" s="218">
        <f t="shared" si="106"/>
        <v>21.17</v>
      </c>
      <c r="S41" s="218"/>
      <c r="T41" s="218">
        <f t="shared" si="107"/>
        <v>908</v>
      </c>
      <c r="U41" s="218">
        <f t="shared" si="108"/>
        <v>2614.56</v>
      </c>
      <c r="V41" s="218">
        <f t="shared" si="109"/>
        <v>1960.9199999999998</v>
      </c>
      <c r="W41" s="226">
        <v>1500</v>
      </c>
      <c r="X41" s="218">
        <f t="shared" si="110"/>
        <v>10412.93</v>
      </c>
      <c r="Y41" s="226">
        <v>37500</v>
      </c>
      <c r="Z41" s="218">
        <f t="shared" si="111"/>
        <v>169130.64</v>
      </c>
      <c r="AA41" s="232">
        <f t="shared" si="112"/>
        <v>604.72</v>
      </c>
      <c r="AB41" s="232">
        <f t="shared" si="113"/>
        <v>151.18</v>
      </c>
      <c r="AC41" s="232">
        <f t="shared" si="114"/>
        <v>37.8</v>
      </c>
      <c r="AD41" s="232">
        <f t="shared" si="115"/>
        <v>793.7</v>
      </c>
      <c r="AE41" s="232">
        <f t="shared" si="116"/>
        <v>604.72</v>
      </c>
      <c r="AF41" s="232">
        <f t="shared" si="117"/>
        <v>151.18</v>
      </c>
      <c r="AG41" s="232">
        <f t="shared" si="118"/>
        <v>37.8</v>
      </c>
      <c r="AH41" s="232">
        <f t="shared" si="119"/>
        <v>793.7</v>
      </c>
      <c r="AI41" s="232">
        <f t="shared" si="120"/>
        <v>0</v>
      </c>
      <c r="AJ41" s="232"/>
      <c r="AK41" s="245" t="s">
        <v>42</v>
      </c>
      <c r="AL41" s="178"/>
      <c r="AM41" s="178"/>
      <c r="AN41" s="178"/>
    </row>
    <row r="42" spans="1:37" s="178" customFormat="1" ht="13.5" hidden="1">
      <c r="A42" s="186">
        <v>30</v>
      </c>
      <c r="B42" s="186" t="s">
        <v>53</v>
      </c>
      <c r="C42" s="200" t="s">
        <v>103</v>
      </c>
      <c r="D42" s="186" t="s">
        <v>95</v>
      </c>
      <c r="E42" s="195">
        <v>4600</v>
      </c>
      <c r="F42" s="195"/>
      <c r="G42" s="201">
        <v>250</v>
      </c>
      <c r="H42" s="195"/>
      <c r="I42" s="201">
        <v>150</v>
      </c>
      <c r="J42" s="216">
        <v>264</v>
      </c>
      <c r="K42" s="221"/>
      <c r="L42" s="216">
        <v>300</v>
      </c>
      <c r="M42" s="218">
        <f t="shared" si="102"/>
        <v>5564</v>
      </c>
      <c r="N42" s="216">
        <v>6521</v>
      </c>
      <c r="O42" s="218">
        <f t="shared" si="103"/>
        <v>1043.36</v>
      </c>
      <c r="P42" s="218">
        <f t="shared" si="104"/>
        <v>554.29</v>
      </c>
      <c r="Q42" s="218">
        <f t="shared" si="105"/>
        <v>32.61</v>
      </c>
      <c r="R42" s="218">
        <f t="shared" si="106"/>
        <v>18.26</v>
      </c>
      <c r="S42" s="218"/>
      <c r="T42" s="218">
        <f t="shared" si="107"/>
        <v>783</v>
      </c>
      <c r="U42" s="218">
        <f t="shared" si="108"/>
        <v>2311.36</v>
      </c>
      <c r="V42" s="218">
        <f t="shared" si="109"/>
        <v>1733.52</v>
      </c>
      <c r="W42" s="226">
        <v>1400</v>
      </c>
      <c r="X42" s="218">
        <f t="shared" si="110"/>
        <v>9095.52</v>
      </c>
      <c r="Y42" s="226">
        <v>33500</v>
      </c>
      <c r="Z42" s="218">
        <f t="shared" si="111"/>
        <v>148791.11999999997</v>
      </c>
      <c r="AA42" s="232">
        <f t="shared" si="112"/>
        <v>521.68</v>
      </c>
      <c r="AB42" s="232">
        <f t="shared" si="113"/>
        <v>130.42</v>
      </c>
      <c r="AC42" s="232">
        <f t="shared" si="114"/>
        <v>32.61</v>
      </c>
      <c r="AD42" s="232">
        <f t="shared" si="115"/>
        <v>684.7099999999999</v>
      </c>
      <c r="AE42" s="232">
        <f t="shared" si="116"/>
        <v>521.68</v>
      </c>
      <c r="AF42" s="232">
        <f t="shared" si="117"/>
        <v>130.42</v>
      </c>
      <c r="AG42" s="232">
        <f t="shared" si="118"/>
        <v>32.61</v>
      </c>
      <c r="AH42" s="232">
        <f t="shared" si="119"/>
        <v>684.7099999999999</v>
      </c>
      <c r="AI42" s="232">
        <f t="shared" si="120"/>
        <v>0</v>
      </c>
      <c r="AJ42" s="232"/>
      <c r="AK42" s="245" t="s">
        <v>42</v>
      </c>
    </row>
    <row r="43" spans="1:40" s="176" customFormat="1" ht="14.25" hidden="1">
      <c r="A43" s="186">
        <v>31</v>
      </c>
      <c r="B43" s="186" t="s">
        <v>104</v>
      </c>
      <c r="C43" s="186" t="s">
        <v>105</v>
      </c>
      <c r="D43" s="186" t="s">
        <v>57</v>
      </c>
      <c r="E43" s="195">
        <v>3900</v>
      </c>
      <c r="F43" s="201"/>
      <c r="G43" s="201">
        <v>110</v>
      </c>
      <c r="H43" s="195"/>
      <c r="I43" s="195">
        <v>100</v>
      </c>
      <c r="J43" s="216">
        <v>264</v>
      </c>
      <c r="K43" s="216"/>
      <c r="L43" s="216">
        <v>300</v>
      </c>
      <c r="M43" s="218">
        <f t="shared" si="102"/>
        <v>4674</v>
      </c>
      <c r="N43" s="216">
        <v>5733</v>
      </c>
      <c r="O43" s="218">
        <f t="shared" si="103"/>
        <v>917.28</v>
      </c>
      <c r="P43" s="218">
        <f t="shared" si="104"/>
        <v>487.31</v>
      </c>
      <c r="Q43" s="218">
        <f t="shared" si="105"/>
        <v>28.67</v>
      </c>
      <c r="R43" s="218">
        <f t="shared" si="106"/>
        <v>16.05</v>
      </c>
      <c r="S43" s="218"/>
      <c r="T43" s="218">
        <f t="shared" si="107"/>
        <v>688</v>
      </c>
      <c r="U43" s="218">
        <f t="shared" si="108"/>
        <v>1973.76</v>
      </c>
      <c r="V43" s="218">
        <f t="shared" si="109"/>
        <v>1480.32</v>
      </c>
      <c r="W43" s="226">
        <v>1300</v>
      </c>
      <c r="X43" s="218">
        <f t="shared" si="110"/>
        <v>7811.3099999999995</v>
      </c>
      <c r="Y43" s="226">
        <v>28500</v>
      </c>
      <c r="Z43" s="218">
        <f t="shared" si="111"/>
        <v>127789.8</v>
      </c>
      <c r="AA43" s="232">
        <f t="shared" si="112"/>
        <v>458.64</v>
      </c>
      <c r="AB43" s="232">
        <f t="shared" si="113"/>
        <v>114.66</v>
      </c>
      <c r="AC43" s="232">
        <f t="shared" si="114"/>
        <v>28.67</v>
      </c>
      <c r="AD43" s="232">
        <f t="shared" si="115"/>
        <v>601.9699999999999</v>
      </c>
      <c r="AE43" s="232">
        <f t="shared" si="116"/>
        <v>458.64</v>
      </c>
      <c r="AF43" s="232">
        <f t="shared" si="117"/>
        <v>114.66</v>
      </c>
      <c r="AG43" s="232">
        <f t="shared" si="118"/>
        <v>28.67</v>
      </c>
      <c r="AH43" s="232">
        <f t="shared" si="119"/>
        <v>601.9699999999999</v>
      </c>
      <c r="AI43" s="232">
        <f t="shared" si="120"/>
        <v>0</v>
      </c>
      <c r="AJ43" s="242"/>
      <c r="AK43" s="245" t="s">
        <v>58</v>
      </c>
      <c r="AL43" s="178"/>
      <c r="AM43" s="178"/>
      <c r="AN43" s="178"/>
    </row>
    <row r="44" spans="1:40" s="176" customFormat="1" ht="13.5" hidden="1">
      <c r="A44" s="186">
        <v>32</v>
      </c>
      <c r="B44" s="186" t="s">
        <v>53</v>
      </c>
      <c r="C44" s="186" t="s">
        <v>106</v>
      </c>
      <c r="D44" s="186" t="s">
        <v>57</v>
      </c>
      <c r="E44" s="195">
        <v>3900</v>
      </c>
      <c r="F44" s="201"/>
      <c r="G44" s="201">
        <v>180</v>
      </c>
      <c r="H44" s="195"/>
      <c r="I44" s="195">
        <v>100</v>
      </c>
      <c r="J44" s="216">
        <v>264</v>
      </c>
      <c r="K44" s="222"/>
      <c r="L44" s="216">
        <v>300</v>
      </c>
      <c r="M44" s="218">
        <f t="shared" si="102"/>
        <v>4744</v>
      </c>
      <c r="N44" s="216">
        <v>5963</v>
      </c>
      <c r="O44" s="218">
        <f t="shared" si="103"/>
        <v>954.08</v>
      </c>
      <c r="P44" s="218">
        <f t="shared" si="104"/>
        <v>506.86</v>
      </c>
      <c r="Q44" s="218">
        <f t="shared" si="105"/>
        <v>29.82</v>
      </c>
      <c r="R44" s="218">
        <f t="shared" si="106"/>
        <v>16.7</v>
      </c>
      <c r="S44" s="218"/>
      <c r="T44" s="218">
        <f t="shared" si="107"/>
        <v>716</v>
      </c>
      <c r="U44" s="218">
        <f t="shared" si="108"/>
        <v>1990.56</v>
      </c>
      <c r="V44" s="218">
        <f t="shared" si="109"/>
        <v>1492.9199999999998</v>
      </c>
      <c r="W44" s="226">
        <v>1300</v>
      </c>
      <c r="X44" s="218">
        <f t="shared" si="110"/>
        <v>7967.46</v>
      </c>
      <c r="Y44" s="226">
        <v>28500</v>
      </c>
      <c r="Z44" s="218">
        <f t="shared" si="111"/>
        <v>129693</v>
      </c>
      <c r="AA44" s="232">
        <f t="shared" si="112"/>
        <v>477.04</v>
      </c>
      <c r="AB44" s="232">
        <f t="shared" si="113"/>
        <v>119.26</v>
      </c>
      <c r="AC44" s="232">
        <f t="shared" si="114"/>
        <v>29.82</v>
      </c>
      <c r="AD44" s="232">
        <f t="shared" si="115"/>
        <v>626.1200000000001</v>
      </c>
      <c r="AE44" s="232">
        <f t="shared" si="116"/>
        <v>477.04</v>
      </c>
      <c r="AF44" s="232">
        <f t="shared" si="117"/>
        <v>119.26</v>
      </c>
      <c r="AG44" s="232">
        <f t="shared" si="118"/>
        <v>29.82</v>
      </c>
      <c r="AH44" s="232">
        <f t="shared" si="119"/>
        <v>626.1200000000001</v>
      </c>
      <c r="AI44" s="232">
        <f t="shared" si="120"/>
        <v>0</v>
      </c>
      <c r="AJ44" s="239"/>
      <c r="AK44" s="245" t="s">
        <v>58</v>
      </c>
      <c r="AL44" s="178"/>
      <c r="AM44" s="178"/>
      <c r="AN44" s="178"/>
    </row>
    <row r="45" spans="1:40" s="177" customFormat="1" ht="13.5" hidden="1">
      <c r="A45" s="186">
        <v>33</v>
      </c>
      <c r="B45" s="186" t="s">
        <v>50</v>
      </c>
      <c r="C45" s="186" t="s">
        <v>107</v>
      </c>
      <c r="D45" s="186" t="s">
        <v>58</v>
      </c>
      <c r="E45" s="195">
        <v>5300</v>
      </c>
      <c r="F45" s="195"/>
      <c r="G45" s="201">
        <v>350</v>
      </c>
      <c r="H45" s="195"/>
      <c r="I45" s="195">
        <v>100</v>
      </c>
      <c r="J45" s="216">
        <v>264</v>
      </c>
      <c r="K45" s="216"/>
      <c r="L45" s="216">
        <v>300</v>
      </c>
      <c r="M45" s="218">
        <f t="shared" si="102"/>
        <v>6314</v>
      </c>
      <c r="N45" s="216">
        <v>7214</v>
      </c>
      <c r="O45" s="218">
        <f t="shared" si="103"/>
        <v>1154.24</v>
      </c>
      <c r="P45" s="218">
        <f t="shared" si="104"/>
        <v>613.19</v>
      </c>
      <c r="Q45" s="218">
        <f t="shared" si="105"/>
        <v>36.07</v>
      </c>
      <c r="R45" s="218">
        <f t="shared" si="106"/>
        <v>20.2</v>
      </c>
      <c r="S45" s="218"/>
      <c r="T45" s="218">
        <f t="shared" si="107"/>
        <v>866</v>
      </c>
      <c r="U45" s="218">
        <f t="shared" si="108"/>
        <v>2223.36</v>
      </c>
      <c r="V45" s="218">
        <f t="shared" si="109"/>
        <v>1667.52</v>
      </c>
      <c r="W45" s="226">
        <v>1200</v>
      </c>
      <c r="X45" s="218">
        <f t="shared" si="110"/>
        <v>9903.7</v>
      </c>
      <c r="Y45" s="226">
        <v>22500</v>
      </c>
      <c r="Z45" s="218">
        <f t="shared" si="111"/>
        <v>147335.28</v>
      </c>
      <c r="AA45" s="232">
        <f t="shared" si="112"/>
        <v>577.12</v>
      </c>
      <c r="AB45" s="232">
        <f t="shared" si="113"/>
        <v>144.28</v>
      </c>
      <c r="AC45" s="232">
        <f t="shared" si="114"/>
        <v>36.07</v>
      </c>
      <c r="AD45" s="232">
        <f t="shared" si="115"/>
        <v>757.47</v>
      </c>
      <c r="AE45" s="232">
        <f t="shared" si="116"/>
        <v>577.12</v>
      </c>
      <c r="AF45" s="232">
        <f t="shared" si="117"/>
        <v>144.28</v>
      </c>
      <c r="AG45" s="232">
        <f t="shared" si="118"/>
        <v>36.07</v>
      </c>
      <c r="AH45" s="232">
        <f t="shared" si="119"/>
        <v>757.47</v>
      </c>
      <c r="AI45" s="232">
        <f t="shared" si="120"/>
        <v>0</v>
      </c>
      <c r="AJ45" s="232"/>
      <c r="AK45" s="245" t="s">
        <v>58</v>
      </c>
      <c r="AL45" s="178"/>
      <c r="AM45" s="178"/>
      <c r="AN45" s="178"/>
    </row>
    <row r="46" spans="1:40" s="176" customFormat="1" ht="13.5" hidden="1">
      <c r="A46" s="186">
        <v>34</v>
      </c>
      <c r="B46" s="186" t="s">
        <v>53</v>
      </c>
      <c r="C46" s="186" t="s">
        <v>108</v>
      </c>
      <c r="D46" s="186" t="s">
        <v>58</v>
      </c>
      <c r="E46" s="195">
        <v>4600</v>
      </c>
      <c r="F46" s="195"/>
      <c r="G46" s="201">
        <v>390</v>
      </c>
      <c r="H46" s="195"/>
      <c r="I46" s="195">
        <v>100</v>
      </c>
      <c r="J46" s="216">
        <v>264</v>
      </c>
      <c r="K46" s="216"/>
      <c r="L46" s="216">
        <v>300</v>
      </c>
      <c r="M46" s="218">
        <f t="shared" si="102"/>
        <v>5654</v>
      </c>
      <c r="N46" s="216">
        <v>6554</v>
      </c>
      <c r="O46" s="218">
        <f t="shared" si="103"/>
        <v>1048.64</v>
      </c>
      <c r="P46" s="218">
        <f t="shared" si="104"/>
        <v>557.09</v>
      </c>
      <c r="Q46" s="218">
        <f t="shared" si="105"/>
        <v>32.77</v>
      </c>
      <c r="R46" s="218">
        <f t="shared" si="106"/>
        <v>18.35</v>
      </c>
      <c r="S46" s="218"/>
      <c r="T46" s="218">
        <f t="shared" si="107"/>
        <v>787</v>
      </c>
      <c r="U46" s="218">
        <f t="shared" si="108"/>
        <v>2064.96</v>
      </c>
      <c r="V46" s="218">
        <f t="shared" si="109"/>
        <v>1548.72</v>
      </c>
      <c r="W46" s="226">
        <v>1200</v>
      </c>
      <c r="X46" s="218">
        <f t="shared" si="110"/>
        <v>8997.85</v>
      </c>
      <c r="Y46" s="226">
        <v>22500</v>
      </c>
      <c r="Z46" s="218">
        <f t="shared" si="111"/>
        <v>136187.88</v>
      </c>
      <c r="AA46" s="232">
        <f t="shared" si="112"/>
        <v>524.32</v>
      </c>
      <c r="AB46" s="232">
        <f t="shared" si="113"/>
        <v>131.08</v>
      </c>
      <c r="AC46" s="232">
        <f t="shared" si="114"/>
        <v>32.77</v>
      </c>
      <c r="AD46" s="232">
        <f t="shared" si="115"/>
        <v>688.1700000000001</v>
      </c>
      <c r="AE46" s="232">
        <f t="shared" si="116"/>
        <v>524.32</v>
      </c>
      <c r="AF46" s="232">
        <f t="shared" si="117"/>
        <v>131.08</v>
      </c>
      <c r="AG46" s="232">
        <f t="shared" si="118"/>
        <v>32.77</v>
      </c>
      <c r="AH46" s="232">
        <f t="shared" si="119"/>
        <v>688.1700000000001</v>
      </c>
      <c r="AI46" s="232">
        <f t="shared" si="120"/>
        <v>0</v>
      </c>
      <c r="AJ46" s="232"/>
      <c r="AK46" s="245" t="s">
        <v>58</v>
      </c>
      <c r="AL46" s="178"/>
      <c r="AM46" s="178"/>
      <c r="AN46" s="178"/>
    </row>
    <row r="47" spans="1:40" s="176" customFormat="1" ht="13.5" hidden="1">
      <c r="A47" s="186">
        <v>35</v>
      </c>
      <c r="B47" s="186" t="s">
        <v>53</v>
      </c>
      <c r="C47" s="186" t="s">
        <v>109</v>
      </c>
      <c r="D47" s="186" t="s">
        <v>58</v>
      </c>
      <c r="E47" s="195">
        <v>3200</v>
      </c>
      <c r="F47" s="201"/>
      <c r="G47" s="201">
        <v>70</v>
      </c>
      <c r="H47" s="195"/>
      <c r="I47" s="195">
        <v>100</v>
      </c>
      <c r="J47" s="216">
        <v>264</v>
      </c>
      <c r="K47" s="222"/>
      <c r="L47" s="216">
        <v>300</v>
      </c>
      <c r="M47" s="218">
        <f t="shared" si="102"/>
        <v>3934</v>
      </c>
      <c r="N47" s="216">
        <v>4889</v>
      </c>
      <c r="O47" s="218">
        <f t="shared" si="103"/>
        <v>782.24</v>
      </c>
      <c r="P47" s="218">
        <f t="shared" si="104"/>
        <v>415.57</v>
      </c>
      <c r="Q47" s="218">
        <f t="shared" si="105"/>
        <v>24.45</v>
      </c>
      <c r="R47" s="218">
        <f t="shared" si="106"/>
        <v>13.69</v>
      </c>
      <c r="S47" s="218"/>
      <c r="T47" s="218">
        <f t="shared" si="107"/>
        <v>587</v>
      </c>
      <c r="U47" s="218">
        <f t="shared" si="108"/>
        <v>1652.16</v>
      </c>
      <c r="V47" s="218">
        <f t="shared" si="109"/>
        <v>1239.12</v>
      </c>
      <c r="W47" s="226">
        <v>1200</v>
      </c>
      <c r="X47" s="218">
        <f t="shared" si="110"/>
        <v>6656.95</v>
      </c>
      <c r="Y47" s="226">
        <v>22500</v>
      </c>
      <c r="Z47" s="218">
        <f t="shared" si="111"/>
        <v>107374.68</v>
      </c>
      <c r="AA47" s="232">
        <f t="shared" si="112"/>
        <v>391.12</v>
      </c>
      <c r="AB47" s="232">
        <f t="shared" si="113"/>
        <v>97.78</v>
      </c>
      <c r="AC47" s="232">
        <f t="shared" si="114"/>
        <v>24.45</v>
      </c>
      <c r="AD47" s="232">
        <f t="shared" si="115"/>
        <v>513.35</v>
      </c>
      <c r="AE47" s="232">
        <f t="shared" si="116"/>
        <v>391.12</v>
      </c>
      <c r="AF47" s="232">
        <f t="shared" si="117"/>
        <v>97.78</v>
      </c>
      <c r="AG47" s="232">
        <f t="shared" si="118"/>
        <v>24.45</v>
      </c>
      <c r="AH47" s="232">
        <f t="shared" si="119"/>
        <v>513.35</v>
      </c>
      <c r="AI47" s="232">
        <f t="shared" si="120"/>
        <v>0</v>
      </c>
      <c r="AJ47" s="239"/>
      <c r="AK47" s="245" t="s">
        <v>58</v>
      </c>
      <c r="AL47" s="178"/>
      <c r="AM47" s="178"/>
      <c r="AN47" s="178"/>
    </row>
    <row r="48" spans="1:40" s="177" customFormat="1" ht="13.5" hidden="1">
      <c r="A48" s="186">
        <v>36</v>
      </c>
      <c r="B48" s="186" t="s">
        <v>53</v>
      </c>
      <c r="C48" s="186" t="s">
        <v>110</v>
      </c>
      <c r="D48" s="186" t="s">
        <v>58</v>
      </c>
      <c r="E48" s="195">
        <v>3200</v>
      </c>
      <c r="F48" s="201"/>
      <c r="G48" s="201">
        <v>400</v>
      </c>
      <c r="H48" s="195"/>
      <c r="I48" s="195">
        <v>100</v>
      </c>
      <c r="J48" s="216">
        <v>264</v>
      </c>
      <c r="K48" s="222"/>
      <c r="L48" s="216">
        <v>300</v>
      </c>
      <c r="M48" s="218">
        <f t="shared" si="102"/>
        <v>4264</v>
      </c>
      <c r="N48" s="216">
        <v>5154</v>
      </c>
      <c r="O48" s="218">
        <f t="shared" si="103"/>
        <v>824.64</v>
      </c>
      <c r="P48" s="218">
        <f t="shared" si="104"/>
        <v>438.09</v>
      </c>
      <c r="Q48" s="218">
        <f t="shared" si="105"/>
        <v>25.77</v>
      </c>
      <c r="R48" s="218">
        <f t="shared" si="106"/>
        <v>14.43</v>
      </c>
      <c r="S48" s="218"/>
      <c r="T48" s="218">
        <f t="shared" si="107"/>
        <v>619</v>
      </c>
      <c r="U48" s="218">
        <f t="shared" si="108"/>
        <v>1731.3600000000001</v>
      </c>
      <c r="V48" s="218">
        <f t="shared" si="109"/>
        <v>1298.52</v>
      </c>
      <c r="W48" s="226">
        <v>1200</v>
      </c>
      <c r="X48" s="218">
        <f t="shared" si="110"/>
        <v>7085.93</v>
      </c>
      <c r="Y48" s="226">
        <v>22500</v>
      </c>
      <c r="Z48" s="218">
        <f t="shared" si="111"/>
        <v>112661.04000000001</v>
      </c>
      <c r="AA48" s="232">
        <f t="shared" si="112"/>
        <v>412.32</v>
      </c>
      <c r="AB48" s="232">
        <f t="shared" si="113"/>
        <v>103.08</v>
      </c>
      <c r="AC48" s="232">
        <f t="shared" si="114"/>
        <v>25.77</v>
      </c>
      <c r="AD48" s="232">
        <f t="shared" si="115"/>
        <v>541.17</v>
      </c>
      <c r="AE48" s="232">
        <f t="shared" si="116"/>
        <v>412.32</v>
      </c>
      <c r="AF48" s="232">
        <f t="shared" si="117"/>
        <v>103.08</v>
      </c>
      <c r="AG48" s="232">
        <f t="shared" si="118"/>
        <v>25.77</v>
      </c>
      <c r="AH48" s="232">
        <f t="shared" si="119"/>
        <v>541.17</v>
      </c>
      <c r="AI48" s="232">
        <f t="shared" si="120"/>
        <v>0</v>
      </c>
      <c r="AJ48" s="232"/>
      <c r="AK48" s="245" t="s">
        <v>58</v>
      </c>
      <c r="AL48" s="178"/>
      <c r="AM48" s="178"/>
      <c r="AN48" s="178"/>
    </row>
    <row r="49" spans="1:40" s="177" customFormat="1" ht="13.5" hidden="1">
      <c r="A49" s="186">
        <v>37</v>
      </c>
      <c r="B49" s="186" t="s">
        <v>53</v>
      </c>
      <c r="C49" s="200" t="s">
        <v>111</v>
      </c>
      <c r="D49" s="200" t="s">
        <v>58</v>
      </c>
      <c r="E49" s="195">
        <v>3200</v>
      </c>
      <c r="F49" s="201"/>
      <c r="G49" s="201">
        <v>330</v>
      </c>
      <c r="H49" s="195"/>
      <c r="I49" s="201">
        <v>100</v>
      </c>
      <c r="J49" s="216">
        <v>264</v>
      </c>
      <c r="K49" s="222"/>
      <c r="L49" s="216">
        <v>300</v>
      </c>
      <c r="M49" s="218">
        <f t="shared" si="102"/>
        <v>4194</v>
      </c>
      <c r="N49" s="216">
        <v>5094</v>
      </c>
      <c r="O49" s="218">
        <f t="shared" si="103"/>
        <v>815.04</v>
      </c>
      <c r="P49" s="218">
        <f t="shared" si="104"/>
        <v>432.99</v>
      </c>
      <c r="Q49" s="218">
        <f t="shared" si="105"/>
        <v>25.47</v>
      </c>
      <c r="R49" s="218">
        <f t="shared" si="106"/>
        <v>14.26</v>
      </c>
      <c r="S49" s="218"/>
      <c r="T49" s="218">
        <f t="shared" si="107"/>
        <v>612</v>
      </c>
      <c r="U49" s="218">
        <f t="shared" si="108"/>
        <v>1714.56</v>
      </c>
      <c r="V49" s="218">
        <f t="shared" si="109"/>
        <v>1285.9199999999998</v>
      </c>
      <c r="W49" s="226">
        <v>1200</v>
      </c>
      <c r="X49" s="218">
        <f t="shared" si="110"/>
        <v>6993.76</v>
      </c>
      <c r="Y49" s="226">
        <v>22500</v>
      </c>
      <c r="Z49" s="218">
        <f t="shared" si="111"/>
        <v>111525.59999999999</v>
      </c>
      <c r="AA49" s="232">
        <f t="shared" si="112"/>
        <v>407.52</v>
      </c>
      <c r="AB49" s="232">
        <f t="shared" si="113"/>
        <v>101.88</v>
      </c>
      <c r="AC49" s="232">
        <f t="shared" si="114"/>
        <v>25.47</v>
      </c>
      <c r="AD49" s="232">
        <f t="shared" si="115"/>
        <v>534.87</v>
      </c>
      <c r="AE49" s="232">
        <f t="shared" si="116"/>
        <v>407.52</v>
      </c>
      <c r="AF49" s="232">
        <f t="shared" si="117"/>
        <v>101.88</v>
      </c>
      <c r="AG49" s="232">
        <f t="shared" si="118"/>
        <v>25.47</v>
      </c>
      <c r="AH49" s="232">
        <f t="shared" si="119"/>
        <v>534.87</v>
      </c>
      <c r="AI49" s="232">
        <f t="shared" si="120"/>
        <v>0</v>
      </c>
      <c r="AJ49" s="239"/>
      <c r="AK49" s="245" t="s">
        <v>58</v>
      </c>
      <c r="AL49" s="178"/>
      <c r="AM49" s="178"/>
      <c r="AN49" s="178"/>
    </row>
    <row r="50" spans="1:37" s="178" customFormat="1" ht="13.5" hidden="1">
      <c r="A50" s="186">
        <v>38</v>
      </c>
      <c r="B50" s="186" t="s">
        <v>53</v>
      </c>
      <c r="C50" s="186" t="s">
        <v>112</v>
      </c>
      <c r="D50" s="186" t="s">
        <v>58</v>
      </c>
      <c r="E50" s="195">
        <v>3200</v>
      </c>
      <c r="F50" s="201"/>
      <c r="G50" s="201">
        <v>410</v>
      </c>
      <c r="H50" s="195"/>
      <c r="I50" s="195">
        <v>100</v>
      </c>
      <c r="J50" s="216">
        <v>264</v>
      </c>
      <c r="K50" s="222"/>
      <c r="L50" s="216">
        <v>300</v>
      </c>
      <c r="M50" s="218">
        <f t="shared" si="102"/>
        <v>4274</v>
      </c>
      <c r="N50" s="216">
        <v>5174</v>
      </c>
      <c r="O50" s="218">
        <f t="shared" si="103"/>
        <v>827.84</v>
      </c>
      <c r="P50" s="218">
        <f t="shared" si="104"/>
        <v>439.79</v>
      </c>
      <c r="Q50" s="218">
        <f t="shared" si="105"/>
        <v>25.87</v>
      </c>
      <c r="R50" s="218">
        <f t="shared" si="106"/>
        <v>14.49</v>
      </c>
      <c r="S50" s="218"/>
      <c r="T50" s="218">
        <f t="shared" si="107"/>
        <v>621</v>
      </c>
      <c r="U50" s="218">
        <f t="shared" si="108"/>
        <v>1733.76</v>
      </c>
      <c r="V50" s="218">
        <f t="shared" si="109"/>
        <v>1300.32</v>
      </c>
      <c r="W50" s="226">
        <v>1200</v>
      </c>
      <c r="X50" s="218">
        <f t="shared" si="110"/>
        <v>7102.99</v>
      </c>
      <c r="Y50" s="226">
        <v>22500</v>
      </c>
      <c r="Z50" s="218">
        <f t="shared" si="111"/>
        <v>112869.96</v>
      </c>
      <c r="AA50" s="232">
        <f t="shared" si="112"/>
        <v>413.92</v>
      </c>
      <c r="AB50" s="232">
        <f t="shared" si="113"/>
        <v>103.48</v>
      </c>
      <c r="AC50" s="232">
        <f t="shared" si="114"/>
        <v>25.87</v>
      </c>
      <c r="AD50" s="232">
        <f t="shared" si="115"/>
        <v>543.27</v>
      </c>
      <c r="AE50" s="232">
        <f t="shared" si="116"/>
        <v>413.92</v>
      </c>
      <c r="AF50" s="232">
        <f t="shared" si="117"/>
        <v>103.48</v>
      </c>
      <c r="AG50" s="232">
        <f t="shared" si="118"/>
        <v>25.87</v>
      </c>
      <c r="AH50" s="232">
        <f t="shared" si="119"/>
        <v>543.27</v>
      </c>
      <c r="AI50" s="232">
        <f t="shared" si="120"/>
        <v>0</v>
      </c>
      <c r="AJ50" s="239"/>
      <c r="AK50" s="245" t="s">
        <v>58</v>
      </c>
    </row>
    <row r="51" spans="1:40" s="176" customFormat="1" ht="14.25" hidden="1">
      <c r="A51" s="186">
        <v>39</v>
      </c>
      <c r="B51" s="186" t="s">
        <v>53</v>
      </c>
      <c r="C51" s="186" t="s">
        <v>113</v>
      </c>
      <c r="D51" s="186" t="s">
        <v>58</v>
      </c>
      <c r="E51" s="195">
        <v>3900</v>
      </c>
      <c r="F51" s="201"/>
      <c r="G51" s="201">
        <v>180</v>
      </c>
      <c r="H51" s="195"/>
      <c r="I51" s="195">
        <v>100</v>
      </c>
      <c r="J51" s="216">
        <v>264</v>
      </c>
      <c r="K51" s="222"/>
      <c r="L51" s="216">
        <v>300</v>
      </c>
      <c r="M51" s="218">
        <f t="shared" si="102"/>
        <v>4744</v>
      </c>
      <c r="N51" s="216">
        <v>5644</v>
      </c>
      <c r="O51" s="218">
        <f t="shared" si="103"/>
        <v>903.04</v>
      </c>
      <c r="P51" s="218">
        <f t="shared" si="104"/>
        <v>479.74</v>
      </c>
      <c r="Q51" s="218">
        <f t="shared" si="105"/>
        <v>28.22</v>
      </c>
      <c r="R51" s="218">
        <f t="shared" si="106"/>
        <v>15.8</v>
      </c>
      <c r="S51" s="218"/>
      <c r="T51" s="218">
        <f t="shared" si="107"/>
        <v>678</v>
      </c>
      <c r="U51" s="218">
        <f t="shared" si="108"/>
        <v>1846.56</v>
      </c>
      <c r="V51" s="218">
        <f t="shared" si="109"/>
        <v>1384.9199999999998</v>
      </c>
      <c r="W51" s="226">
        <v>1200</v>
      </c>
      <c r="X51" s="218">
        <f t="shared" si="110"/>
        <v>7748.8</v>
      </c>
      <c r="Y51" s="226">
        <v>22500</v>
      </c>
      <c r="Z51" s="218">
        <f t="shared" si="111"/>
        <v>120817.08</v>
      </c>
      <c r="AA51" s="232">
        <f t="shared" si="112"/>
        <v>451.52</v>
      </c>
      <c r="AB51" s="232">
        <f t="shared" si="113"/>
        <v>112.88</v>
      </c>
      <c r="AC51" s="232">
        <f t="shared" si="114"/>
        <v>28.22</v>
      </c>
      <c r="AD51" s="232">
        <f t="shared" si="115"/>
        <v>592.62</v>
      </c>
      <c r="AE51" s="232">
        <f t="shared" si="116"/>
        <v>451.52</v>
      </c>
      <c r="AF51" s="232">
        <f t="shared" si="117"/>
        <v>112.88</v>
      </c>
      <c r="AG51" s="232">
        <f t="shared" si="118"/>
        <v>28.22</v>
      </c>
      <c r="AH51" s="232">
        <f t="shared" si="119"/>
        <v>592.62</v>
      </c>
      <c r="AI51" s="232">
        <f t="shared" si="120"/>
        <v>0</v>
      </c>
      <c r="AJ51" s="242"/>
      <c r="AK51" s="245" t="s">
        <v>58</v>
      </c>
      <c r="AL51" s="178"/>
      <c r="AM51" s="178"/>
      <c r="AN51" s="178"/>
    </row>
    <row r="52" spans="1:37" s="178" customFormat="1" ht="13.5" hidden="1">
      <c r="A52" s="186">
        <v>40</v>
      </c>
      <c r="B52" s="186" t="s">
        <v>59</v>
      </c>
      <c r="C52" s="200" t="s">
        <v>114</v>
      </c>
      <c r="D52" s="186" t="s">
        <v>58</v>
      </c>
      <c r="E52" s="195">
        <v>3200</v>
      </c>
      <c r="F52" s="201"/>
      <c r="G52" s="201">
        <v>40</v>
      </c>
      <c r="H52" s="195"/>
      <c r="I52" s="201">
        <v>100</v>
      </c>
      <c r="J52" s="216">
        <v>264</v>
      </c>
      <c r="K52" s="221"/>
      <c r="L52" s="216">
        <v>300</v>
      </c>
      <c r="M52" s="218">
        <f t="shared" si="102"/>
        <v>3904</v>
      </c>
      <c r="N52" s="216">
        <v>4804</v>
      </c>
      <c r="O52" s="218">
        <f t="shared" si="103"/>
        <v>768.64</v>
      </c>
      <c r="P52" s="218">
        <f t="shared" si="104"/>
        <v>408.34</v>
      </c>
      <c r="Q52" s="218">
        <f t="shared" si="105"/>
        <v>24.02</v>
      </c>
      <c r="R52" s="218">
        <f t="shared" si="106"/>
        <v>13.45</v>
      </c>
      <c r="S52" s="218"/>
      <c r="T52" s="218">
        <f t="shared" si="107"/>
        <v>577</v>
      </c>
      <c r="U52" s="218">
        <f t="shared" si="108"/>
        <v>1644.96</v>
      </c>
      <c r="V52" s="218">
        <f t="shared" si="109"/>
        <v>1233.72</v>
      </c>
      <c r="W52" s="226">
        <v>1200</v>
      </c>
      <c r="X52" s="218">
        <f t="shared" si="110"/>
        <v>6595.45</v>
      </c>
      <c r="Y52" s="226">
        <v>22500</v>
      </c>
      <c r="Z52" s="218">
        <f t="shared" si="111"/>
        <v>106624.08</v>
      </c>
      <c r="AA52" s="232">
        <f t="shared" si="112"/>
        <v>384.32</v>
      </c>
      <c r="AB52" s="232">
        <f t="shared" si="113"/>
        <v>96.08</v>
      </c>
      <c r="AC52" s="232">
        <f t="shared" si="114"/>
        <v>24.02</v>
      </c>
      <c r="AD52" s="232">
        <f t="shared" si="115"/>
        <v>504.41999999999996</v>
      </c>
      <c r="AE52" s="232">
        <f t="shared" si="116"/>
        <v>384.32</v>
      </c>
      <c r="AF52" s="232">
        <f t="shared" si="117"/>
        <v>96.08</v>
      </c>
      <c r="AG52" s="232">
        <f t="shared" si="118"/>
        <v>24.02</v>
      </c>
      <c r="AH52" s="232">
        <f t="shared" si="119"/>
        <v>504.41999999999996</v>
      </c>
      <c r="AI52" s="232">
        <f t="shared" si="120"/>
        <v>0</v>
      </c>
      <c r="AJ52" s="232"/>
      <c r="AK52" s="245" t="s">
        <v>58</v>
      </c>
    </row>
    <row r="53" spans="1:37" s="178" customFormat="1" ht="13.5" hidden="1">
      <c r="A53" s="186"/>
      <c r="B53" s="186"/>
      <c r="C53" s="214" t="s">
        <v>76</v>
      </c>
      <c r="D53" s="186" t="s">
        <v>57</v>
      </c>
      <c r="E53" s="195">
        <v>700</v>
      </c>
      <c r="F53" s="201"/>
      <c r="G53" s="201"/>
      <c r="H53" s="195"/>
      <c r="I53" s="201"/>
      <c r="J53" s="216"/>
      <c r="K53" s="221"/>
      <c r="L53" s="216"/>
      <c r="M53" s="218">
        <f t="shared" si="102"/>
        <v>700</v>
      </c>
      <c r="N53" s="216"/>
      <c r="O53" s="218"/>
      <c r="P53" s="218"/>
      <c r="Q53" s="218"/>
      <c r="R53" s="218"/>
      <c r="S53" s="218"/>
      <c r="T53" s="218"/>
      <c r="U53" s="218">
        <f t="shared" si="108"/>
        <v>312</v>
      </c>
      <c r="V53" s="218">
        <f t="shared" si="109"/>
        <v>234</v>
      </c>
      <c r="W53" s="226">
        <v>100</v>
      </c>
      <c r="X53" s="218">
        <f t="shared" si="110"/>
        <v>800</v>
      </c>
      <c r="Y53" s="226">
        <v>6000</v>
      </c>
      <c r="Z53" s="218">
        <f t="shared" si="111"/>
        <v>16146</v>
      </c>
      <c r="AA53" s="232"/>
      <c r="AB53" s="232"/>
      <c r="AC53" s="232"/>
      <c r="AD53" s="232"/>
      <c r="AE53" s="232"/>
      <c r="AF53" s="232"/>
      <c r="AG53" s="232"/>
      <c r="AH53" s="232"/>
      <c r="AI53" s="232"/>
      <c r="AJ53" s="232" t="s">
        <v>115</v>
      </c>
      <c r="AK53" s="245" t="s">
        <v>58</v>
      </c>
    </row>
    <row r="54" spans="1:40" s="176" customFormat="1" ht="13.5" hidden="1">
      <c r="A54" s="186">
        <v>41</v>
      </c>
      <c r="B54" s="186" t="s">
        <v>59</v>
      </c>
      <c r="C54" s="194" t="s">
        <v>78</v>
      </c>
      <c r="D54" s="186" t="s">
        <v>58</v>
      </c>
      <c r="E54" s="195">
        <v>3200</v>
      </c>
      <c r="F54" s="201"/>
      <c r="G54" s="201" t="s">
        <v>66</v>
      </c>
      <c r="H54" s="195"/>
      <c r="I54" s="195">
        <v>100</v>
      </c>
      <c r="J54" s="216">
        <v>264</v>
      </c>
      <c r="K54" s="216"/>
      <c r="L54" s="216">
        <v>300</v>
      </c>
      <c r="M54" s="218">
        <f t="shared" si="102"/>
        <v>3864</v>
      </c>
      <c r="N54" s="216">
        <v>3464</v>
      </c>
      <c r="O54" s="218">
        <f aca="true" t="shared" si="121" ref="O54:O62">ROUND(IF(N54&gt;3925.8,N54,3925.8)*16%,2)</f>
        <v>628.13</v>
      </c>
      <c r="P54" s="218">
        <f aca="true" t="shared" si="122" ref="P54:P62">ROUND(IF(N54&gt;3925.8,N54,3925.8)*8.5%,2)</f>
        <v>333.69</v>
      </c>
      <c r="Q54" s="218">
        <f aca="true" t="shared" si="123" ref="Q54:Q62">ROUND(IF(N54&gt;3925.8,N54,3925.8)*0.5%,2)</f>
        <v>19.63</v>
      </c>
      <c r="R54" s="218">
        <f aca="true" t="shared" si="124" ref="R54:R62">ROUND(IF(N54&gt;3925.8,N54,3925.8)*0.28%,2)</f>
        <v>10.99</v>
      </c>
      <c r="S54" s="218"/>
      <c r="T54" s="218">
        <f aca="true" t="shared" si="125" ref="T54:T62">CEILING(N54*12%,1)</f>
        <v>416</v>
      </c>
      <c r="U54" s="218">
        <f>((SUM(E54:J54)+W54)*9+L54*7+Y54)*2%</f>
        <v>1237.02</v>
      </c>
      <c r="V54" s="218">
        <f>((SUM(E54:J54)+W54)*9+L54*7+Y54)*1.5%</f>
        <v>927.765</v>
      </c>
      <c r="W54" s="226">
        <v>1200</v>
      </c>
      <c r="X54" s="218">
        <f t="shared" si="110"/>
        <v>6172.4400000000005</v>
      </c>
      <c r="Y54" s="226">
        <f>22500/4*3</f>
        <v>16875</v>
      </c>
      <c r="Z54" s="218">
        <f>X54*9+Y54+U54+V54+L54*7</f>
        <v>76691.74500000001</v>
      </c>
      <c r="AA54" s="232">
        <f aca="true" t="shared" si="126" ref="AA54:AA61">ROUND(N54*8%,2)</f>
        <v>277.12</v>
      </c>
      <c r="AB54" s="232">
        <f aca="true" t="shared" si="127" ref="AB54:AB61">ROUND(N54*2%,2)</f>
        <v>69.28</v>
      </c>
      <c r="AC54" s="232">
        <f aca="true" t="shared" si="128" ref="AC54:AC61">ROUND(N54*0.5%,2)</f>
        <v>17.32</v>
      </c>
      <c r="AD54" s="232">
        <f aca="true" t="shared" si="129" ref="AD54:AD61">SUM(AA54:AC54)</f>
        <v>363.71999999999997</v>
      </c>
      <c r="AE54" s="232">
        <f aca="true" t="shared" si="130" ref="AE54:AE61">ROUND(IF(N54&gt;3453*105%,N54,3453*105%)*8%,2)</f>
        <v>290.05</v>
      </c>
      <c r="AF54" s="232">
        <f aca="true" t="shared" si="131" ref="AF54:AF61">ROUND(IF(N54&gt;3453*105%,N54,3453*105%)*2%,2)</f>
        <v>72.51</v>
      </c>
      <c r="AG54" s="232">
        <f aca="true" t="shared" si="132" ref="AG54:AG61">ROUND(IF(N54&gt;3453*105%,N54,3453*105%)*0.5%,2)</f>
        <v>18.13</v>
      </c>
      <c r="AH54" s="232">
        <f aca="true" t="shared" si="133" ref="AH54:AH61">SUM(AE54:AG54)</f>
        <v>380.69</v>
      </c>
      <c r="AI54" s="232">
        <f aca="true" t="shared" si="134" ref="AI54:AI61">AH54-AD54</f>
        <v>16.970000000000027</v>
      </c>
      <c r="AJ54" s="232" t="s">
        <v>96</v>
      </c>
      <c r="AK54" s="245" t="s">
        <v>80</v>
      </c>
      <c r="AL54" s="178"/>
      <c r="AM54" s="178"/>
      <c r="AN54" s="178"/>
    </row>
    <row r="55" spans="1:37" s="178" customFormat="1" ht="13.5" hidden="1">
      <c r="A55" s="186">
        <v>42</v>
      </c>
      <c r="B55" s="186"/>
      <c r="C55" s="194" t="s">
        <v>78</v>
      </c>
      <c r="D55" s="186" t="s">
        <v>58</v>
      </c>
      <c r="E55" s="195">
        <v>3200</v>
      </c>
      <c r="F55" s="201"/>
      <c r="G55" s="201" t="s">
        <v>66</v>
      </c>
      <c r="H55" s="195"/>
      <c r="I55" s="201">
        <v>100</v>
      </c>
      <c r="J55" s="216">
        <v>264</v>
      </c>
      <c r="K55" s="221"/>
      <c r="L55" s="216">
        <v>300</v>
      </c>
      <c r="M55" s="218">
        <f t="shared" si="102"/>
        <v>3864</v>
      </c>
      <c r="N55" s="216">
        <v>3464</v>
      </c>
      <c r="O55" s="218">
        <f t="shared" si="121"/>
        <v>628.13</v>
      </c>
      <c r="P55" s="218">
        <f t="shared" si="122"/>
        <v>333.69</v>
      </c>
      <c r="Q55" s="218">
        <f t="shared" si="123"/>
        <v>19.63</v>
      </c>
      <c r="R55" s="218">
        <f t="shared" si="124"/>
        <v>10.99</v>
      </c>
      <c r="S55" s="218"/>
      <c r="T55" s="218">
        <f t="shared" si="125"/>
        <v>416</v>
      </c>
      <c r="U55" s="218">
        <f>((SUM(E55:J55)+W55)*9+L55*7+Y55)*2%</f>
        <v>1237.02</v>
      </c>
      <c r="V55" s="218">
        <f>((SUM(E55:J55)+W55)*9+L55*7+Y55)*1.5%</f>
        <v>927.765</v>
      </c>
      <c r="W55" s="226">
        <v>1200</v>
      </c>
      <c r="X55" s="218">
        <f t="shared" si="110"/>
        <v>6172.4400000000005</v>
      </c>
      <c r="Y55" s="226">
        <f>22500/4*3</f>
        <v>16875</v>
      </c>
      <c r="Z55" s="218">
        <f>X55*9+Y55+U55+V55+L55*7</f>
        <v>76691.74500000001</v>
      </c>
      <c r="AA55" s="232">
        <f t="shared" si="126"/>
        <v>277.12</v>
      </c>
      <c r="AB55" s="232">
        <f t="shared" si="127"/>
        <v>69.28</v>
      </c>
      <c r="AC55" s="232">
        <f t="shared" si="128"/>
        <v>17.32</v>
      </c>
      <c r="AD55" s="232">
        <f t="shared" si="129"/>
        <v>363.71999999999997</v>
      </c>
      <c r="AE55" s="232">
        <f t="shared" si="130"/>
        <v>290.05</v>
      </c>
      <c r="AF55" s="232">
        <f t="shared" si="131"/>
        <v>72.51</v>
      </c>
      <c r="AG55" s="232">
        <f t="shared" si="132"/>
        <v>18.13</v>
      </c>
      <c r="AH55" s="232">
        <f t="shared" si="133"/>
        <v>380.69</v>
      </c>
      <c r="AI55" s="232">
        <f t="shared" si="134"/>
        <v>16.970000000000027</v>
      </c>
      <c r="AJ55" s="232" t="s">
        <v>79</v>
      </c>
      <c r="AK55" s="245" t="s">
        <v>80</v>
      </c>
    </row>
    <row r="56" spans="1:38" s="178" customFormat="1" ht="14.25" hidden="1">
      <c r="A56" s="205" t="s">
        <v>116</v>
      </c>
      <c r="B56" s="206"/>
      <c r="C56" s="206"/>
      <c r="D56" s="207"/>
      <c r="E56" s="199">
        <f aca="true" t="shared" si="135" ref="E56:M56">SUM(E40:E55)</f>
        <v>60600</v>
      </c>
      <c r="F56" s="199">
        <f t="shared" si="135"/>
        <v>0</v>
      </c>
      <c r="G56" s="199">
        <f t="shared" si="135"/>
        <v>3370</v>
      </c>
      <c r="H56" s="199">
        <f t="shared" si="135"/>
        <v>0</v>
      </c>
      <c r="I56" s="199">
        <f t="shared" si="135"/>
        <v>1750</v>
      </c>
      <c r="J56" s="199">
        <f t="shared" si="135"/>
        <v>3960</v>
      </c>
      <c r="K56" s="199">
        <f t="shared" si="135"/>
        <v>0</v>
      </c>
      <c r="L56" s="199">
        <f t="shared" si="135"/>
        <v>4500</v>
      </c>
      <c r="M56" s="219">
        <f t="shared" si="135"/>
        <v>74180</v>
      </c>
      <c r="N56" s="199"/>
      <c r="O56" s="223">
        <f aca="true" t="shared" si="136" ref="O56:Z56">SUM(O40:O55)</f>
        <v>13835.779999999999</v>
      </c>
      <c r="P56" s="223">
        <f t="shared" si="136"/>
        <v>7350.279999999999</v>
      </c>
      <c r="Q56" s="223">
        <f t="shared" si="136"/>
        <v>432.4</v>
      </c>
      <c r="R56" s="223">
        <f t="shared" si="136"/>
        <v>242.12000000000003</v>
      </c>
      <c r="S56" s="223">
        <f t="shared" si="136"/>
        <v>0</v>
      </c>
      <c r="T56" s="223">
        <f t="shared" si="136"/>
        <v>10273</v>
      </c>
      <c r="U56" s="223">
        <f t="shared" si="136"/>
        <v>29154.52</v>
      </c>
      <c r="V56" s="223">
        <f t="shared" si="136"/>
        <v>21865.89</v>
      </c>
      <c r="W56" s="228">
        <f t="shared" si="136"/>
        <v>19200</v>
      </c>
      <c r="X56" s="223">
        <f t="shared" si="136"/>
        <v>121013.58000000002</v>
      </c>
      <c r="Y56" s="228">
        <f t="shared" si="136"/>
        <v>388250</v>
      </c>
      <c r="Z56" s="223">
        <f t="shared" si="136"/>
        <v>1885898.7300000004</v>
      </c>
      <c r="AA56" s="238">
        <f>(F56+W56)*12+Y56</f>
        <v>618650</v>
      </c>
      <c r="AB56" s="238"/>
      <c r="AC56" s="238"/>
      <c r="AD56" s="238"/>
      <c r="AE56" s="238"/>
      <c r="AF56" s="238"/>
      <c r="AG56" s="238"/>
      <c r="AH56" s="238"/>
      <c r="AI56" s="238">
        <f>SUM(AI40:AI52)</f>
        <v>0</v>
      </c>
      <c r="AJ56" s="247"/>
      <c r="AK56" s="248"/>
      <c r="AL56" s="178">
        <f>SUM(W40:W53)*12+(W54+W55)*9+Y56</f>
        <v>611450</v>
      </c>
    </row>
    <row r="57" spans="1:37" s="178" customFormat="1" ht="13.5" hidden="1">
      <c r="A57" s="186">
        <v>43</v>
      </c>
      <c r="B57" s="186" t="s">
        <v>117</v>
      </c>
      <c r="C57" s="186" t="s">
        <v>118</v>
      </c>
      <c r="D57" s="186" t="s">
        <v>89</v>
      </c>
      <c r="E57" s="195">
        <v>5300</v>
      </c>
      <c r="F57" s="195"/>
      <c r="G57" s="201">
        <v>210</v>
      </c>
      <c r="H57" s="195">
        <v>100</v>
      </c>
      <c r="I57" s="201">
        <v>200</v>
      </c>
      <c r="J57" s="216">
        <v>264</v>
      </c>
      <c r="K57" s="221"/>
      <c r="L57" s="221">
        <v>300</v>
      </c>
      <c r="M57" s="218">
        <f aca="true" t="shared" si="137" ref="M57:M62">SUM(E57:L57)</f>
        <v>6374</v>
      </c>
      <c r="N57" s="216">
        <v>7489</v>
      </c>
      <c r="O57" s="218">
        <f t="shared" si="121"/>
        <v>1198.24</v>
      </c>
      <c r="P57" s="218">
        <f t="shared" si="122"/>
        <v>636.57</v>
      </c>
      <c r="Q57" s="218">
        <f t="shared" si="123"/>
        <v>37.45</v>
      </c>
      <c r="R57" s="218">
        <f t="shared" si="124"/>
        <v>20.97</v>
      </c>
      <c r="S57" s="218"/>
      <c r="T57" s="218">
        <f t="shared" si="125"/>
        <v>899</v>
      </c>
      <c r="U57" s="218">
        <f aca="true" t="shared" si="138" ref="U57:U62">((SUM(E57:J57)+W57)*12+L57*7+Y57)*2%</f>
        <v>2609.76</v>
      </c>
      <c r="V57" s="218">
        <f aca="true" t="shared" si="139" ref="V57:V62">((SUM(E57:J57)+W57)*12+L57*7+Y57)*1.5%</f>
        <v>1957.32</v>
      </c>
      <c r="W57" s="226">
        <v>1500</v>
      </c>
      <c r="X57" s="218">
        <f aca="true" t="shared" si="140" ref="X57:X62">SUM(E57:J57)+SUM(O57:T57)+W57</f>
        <v>10366.23</v>
      </c>
      <c r="Y57" s="226">
        <v>37500</v>
      </c>
      <c r="Z57" s="218">
        <f aca="true" t="shared" si="141" ref="Z57:Z62">X57*12+Y57+U57+V57+L57*7</f>
        <v>168561.84000000003</v>
      </c>
      <c r="AA57" s="232">
        <f t="shared" si="126"/>
        <v>599.12</v>
      </c>
      <c r="AB57" s="232">
        <f t="shared" si="127"/>
        <v>149.78</v>
      </c>
      <c r="AC57" s="232">
        <f t="shared" si="128"/>
        <v>37.45</v>
      </c>
      <c r="AD57" s="232">
        <f t="shared" si="129"/>
        <v>786.35</v>
      </c>
      <c r="AE57" s="232">
        <f t="shared" si="130"/>
        <v>599.12</v>
      </c>
      <c r="AF57" s="232">
        <f t="shared" si="131"/>
        <v>149.78</v>
      </c>
      <c r="AG57" s="232">
        <f t="shared" si="132"/>
        <v>37.45</v>
      </c>
      <c r="AH57" s="232">
        <f t="shared" si="133"/>
        <v>786.35</v>
      </c>
      <c r="AI57" s="232">
        <f t="shared" si="134"/>
        <v>0</v>
      </c>
      <c r="AJ57" s="232"/>
      <c r="AK57" s="245" t="s">
        <v>42</v>
      </c>
    </row>
    <row r="58" spans="1:37" s="178" customFormat="1" ht="13.5" hidden="1">
      <c r="A58" s="186">
        <v>44</v>
      </c>
      <c r="B58" s="186" t="s">
        <v>117</v>
      </c>
      <c r="C58" s="186" t="s">
        <v>119</v>
      </c>
      <c r="D58" s="186" t="s">
        <v>57</v>
      </c>
      <c r="E58" s="195">
        <v>3900</v>
      </c>
      <c r="F58" s="201"/>
      <c r="G58" s="201">
        <v>130</v>
      </c>
      <c r="H58" s="195">
        <v>200</v>
      </c>
      <c r="I58" s="201">
        <v>100</v>
      </c>
      <c r="J58" s="216">
        <v>264</v>
      </c>
      <c r="K58" s="221"/>
      <c r="L58" s="221">
        <v>300</v>
      </c>
      <c r="M58" s="218">
        <f t="shared" si="137"/>
        <v>4894</v>
      </c>
      <c r="N58" s="216">
        <v>5909</v>
      </c>
      <c r="O58" s="218">
        <f t="shared" si="121"/>
        <v>945.44</v>
      </c>
      <c r="P58" s="218">
        <f t="shared" si="122"/>
        <v>502.27</v>
      </c>
      <c r="Q58" s="218">
        <f t="shared" si="123"/>
        <v>29.55</v>
      </c>
      <c r="R58" s="218">
        <f t="shared" si="124"/>
        <v>16.55</v>
      </c>
      <c r="S58" s="218"/>
      <c r="T58" s="218">
        <f t="shared" si="125"/>
        <v>710</v>
      </c>
      <c r="U58" s="218">
        <f t="shared" si="138"/>
        <v>2026.56</v>
      </c>
      <c r="V58" s="218">
        <f t="shared" si="139"/>
        <v>1519.9199999999998</v>
      </c>
      <c r="W58" s="226">
        <v>1300</v>
      </c>
      <c r="X58" s="218">
        <f t="shared" si="140"/>
        <v>8097.8099999999995</v>
      </c>
      <c r="Y58" s="226">
        <v>28500</v>
      </c>
      <c r="Z58" s="218">
        <f t="shared" si="141"/>
        <v>131320.2</v>
      </c>
      <c r="AA58" s="232">
        <f t="shared" si="126"/>
        <v>472.72</v>
      </c>
      <c r="AB58" s="232">
        <f t="shared" si="127"/>
        <v>118.18</v>
      </c>
      <c r="AC58" s="232">
        <f t="shared" si="128"/>
        <v>29.55</v>
      </c>
      <c r="AD58" s="232">
        <f t="shared" si="129"/>
        <v>620.45</v>
      </c>
      <c r="AE58" s="232">
        <f t="shared" si="130"/>
        <v>472.72</v>
      </c>
      <c r="AF58" s="232">
        <f t="shared" si="131"/>
        <v>118.18</v>
      </c>
      <c r="AG58" s="232">
        <f t="shared" si="132"/>
        <v>29.55</v>
      </c>
      <c r="AH58" s="232">
        <f t="shared" si="133"/>
        <v>620.45</v>
      </c>
      <c r="AI58" s="232">
        <f t="shared" si="134"/>
        <v>0</v>
      </c>
      <c r="AJ58" s="232"/>
      <c r="AK58" s="245" t="s">
        <v>58</v>
      </c>
    </row>
    <row r="59" spans="1:37" s="178" customFormat="1" ht="13.5" hidden="1">
      <c r="A59" s="186">
        <v>45</v>
      </c>
      <c r="B59" s="186" t="s">
        <v>117</v>
      </c>
      <c r="C59" s="186" t="s">
        <v>120</v>
      </c>
      <c r="D59" s="186" t="s">
        <v>58</v>
      </c>
      <c r="E59" s="195">
        <v>3200</v>
      </c>
      <c r="F59" s="201"/>
      <c r="G59" s="201">
        <v>240</v>
      </c>
      <c r="H59" s="195"/>
      <c r="I59" s="201">
        <v>100</v>
      </c>
      <c r="J59" s="216">
        <v>264</v>
      </c>
      <c r="K59" s="221"/>
      <c r="L59" s="221">
        <v>300</v>
      </c>
      <c r="M59" s="218">
        <f t="shared" si="137"/>
        <v>4104</v>
      </c>
      <c r="N59" s="216">
        <v>5019</v>
      </c>
      <c r="O59" s="218">
        <f t="shared" si="121"/>
        <v>803.04</v>
      </c>
      <c r="P59" s="218">
        <f t="shared" si="122"/>
        <v>426.62</v>
      </c>
      <c r="Q59" s="218">
        <f t="shared" si="123"/>
        <v>25.1</v>
      </c>
      <c r="R59" s="218">
        <f t="shared" si="124"/>
        <v>14.05</v>
      </c>
      <c r="S59" s="218"/>
      <c r="T59" s="218">
        <f t="shared" si="125"/>
        <v>603</v>
      </c>
      <c r="U59" s="218">
        <f t="shared" si="138"/>
        <v>1692.96</v>
      </c>
      <c r="V59" s="218">
        <f t="shared" si="139"/>
        <v>1269.72</v>
      </c>
      <c r="W59" s="226">
        <v>1200</v>
      </c>
      <c r="X59" s="218">
        <f t="shared" si="140"/>
        <v>6875.8099999999995</v>
      </c>
      <c r="Y59" s="226">
        <v>22500</v>
      </c>
      <c r="Z59" s="218">
        <f t="shared" si="141"/>
        <v>110072.40000000001</v>
      </c>
      <c r="AA59" s="232">
        <f t="shared" si="126"/>
        <v>401.52</v>
      </c>
      <c r="AB59" s="232">
        <f t="shared" si="127"/>
        <v>100.38</v>
      </c>
      <c r="AC59" s="232">
        <f t="shared" si="128"/>
        <v>25.1</v>
      </c>
      <c r="AD59" s="232">
        <f t="shared" si="129"/>
        <v>527</v>
      </c>
      <c r="AE59" s="232">
        <f t="shared" si="130"/>
        <v>401.52</v>
      </c>
      <c r="AF59" s="232">
        <f t="shared" si="131"/>
        <v>100.38</v>
      </c>
      <c r="AG59" s="232">
        <f t="shared" si="132"/>
        <v>25.1</v>
      </c>
      <c r="AH59" s="232">
        <f t="shared" si="133"/>
        <v>527</v>
      </c>
      <c r="AI59" s="232">
        <f t="shared" si="134"/>
        <v>0</v>
      </c>
      <c r="AJ59" s="232"/>
      <c r="AK59" s="245" t="s">
        <v>58</v>
      </c>
    </row>
    <row r="60" spans="1:37" s="178" customFormat="1" ht="13.5" hidden="1">
      <c r="A60" s="186">
        <v>46</v>
      </c>
      <c r="B60" s="186"/>
      <c r="C60" s="186" t="s">
        <v>121</v>
      </c>
      <c r="D60" s="186" t="s">
        <v>58</v>
      </c>
      <c r="E60" s="195">
        <v>3200</v>
      </c>
      <c r="F60" s="201"/>
      <c r="G60" s="201">
        <v>30</v>
      </c>
      <c r="H60" s="195">
        <v>100</v>
      </c>
      <c r="I60" s="201">
        <v>100</v>
      </c>
      <c r="J60" s="216">
        <v>264</v>
      </c>
      <c r="K60" s="221"/>
      <c r="L60" s="221">
        <v>300</v>
      </c>
      <c r="M60" s="218">
        <f t="shared" si="137"/>
        <v>3994</v>
      </c>
      <c r="N60" s="216">
        <v>4909</v>
      </c>
      <c r="O60" s="218">
        <f t="shared" si="121"/>
        <v>785.44</v>
      </c>
      <c r="P60" s="218">
        <f t="shared" si="122"/>
        <v>417.27</v>
      </c>
      <c r="Q60" s="218">
        <f t="shared" si="123"/>
        <v>24.55</v>
      </c>
      <c r="R60" s="218">
        <f t="shared" si="124"/>
        <v>13.75</v>
      </c>
      <c r="S60" s="218"/>
      <c r="T60" s="218">
        <f t="shared" si="125"/>
        <v>590</v>
      </c>
      <c r="U60" s="218">
        <f t="shared" si="138"/>
        <v>1666.56</v>
      </c>
      <c r="V60" s="218">
        <f t="shared" si="139"/>
        <v>1249.9199999999998</v>
      </c>
      <c r="W60" s="226">
        <v>1200</v>
      </c>
      <c r="X60" s="218">
        <f t="shared" si="140"/>
        <v>6725.01</v>
      </c>
      <c r="Y60" s="226">
        <v>22500</v>
      </c>
      <c r="Z60" s="218">
        <f t="shared" si="141"/>
        <v>108216.59999999999</v>
      </c>
      <c r="AA60" s="232">
        <f t="shared" si="126"/>
        <v>392.72</v>
      </c>
      <c r="AB60" s="232">
        <f t="shared" si="127"/>
        <v>98.18</v>
      </c>
      <c r="AC60" s="232">
        <f t="shared" si="128"/>
        <v>24.55</v>
      </c>
      <c r="AD60" s="232">
        <f t="shared" si="129"/>
        <v>515.45</v>
      </c>
      <c r="AE60" s="232">
        <f t="shared" si="130"/>
        <v>392.72</v>
      </c>
      <c r="AF60" s="232">
        <f t="shared" si="131"/>
        <v>98.18</v>
      </c>
      <c r="AG60" s="232">
        <f t="shared" si="132"/>
        <v>24.55</v>
      </c>
      <c r="AH60" s="232">
        <f t="shared" si="133"/>
        <v>515.45</v>
      </c>
      <c r="AI60" s="232">
        <f t="shared" si="134"/>
        <v>0</v>
      </c>
      <c r="AJ60" s="232"/>
      <c r="AK60" s="245" t="s">
        <v>58</v>
      </c>
    </row>
    <row r="61" spans="1:40" s="176" customFormat="1" ht="13.5" hidden="1">
      <c r="A61" s="186">
        <v>47</v>
      </c>
      <c r="B61" s="186"/>
      <c r="C61" s="212" t="s">
        <v>122</v>
      </c>
      <c r="D61" s="186" t="s">
        <v>58</v>
      </c>
      <c r="E61" s="195">
        <v>3200</v>
      </c>
      <c r="F61" s="201"/>
      <c r="G61" s="201">
        <v>40</v>
      </c>
      <c r="H61" s="195">
        <v>100</v>
      </c>
      <c r="I61" s="201">
        <v>100</v>
      </c>
      <c r="J61" s="216">
        <v>264</v>
      </c>
      <c r="K61" s="221"/>
      <c r="L61" s="221">
        <v>300</v>
      </c>
      <c r="M61" s="218">
        <f t="shared" si="137"/>
        <v>4004</v>
      </c>
      <c r="N61" s="216">
        <v>3944</v>
      </c>
      <c r="O61" s="218">
        <f t="shared" si="121"/>
        <v>631.04</v>
      </c>
      <c r="P61" s="218">
        <f t="shared" si="122"/>
        <v>335.24</v>
      </c>
      <c r="Q61" s="218">
        <f t="shared" si="123"/>
        <v>19.72</v>
      </c>
      <c r="R61" s="218">
        <f t="shared" si="124"/>
        <v>11.04</v>
      </c>
      <c r="S61" s="218"/>
      <c r="T61" s="218">
        <f t="shared" si="125"/>
        <v>474</v>
      </c>
      <c r="U61" s="218">
        <f t="shared" si="138"/>
        <v>1668.96</v>
      </c>
      <c r="V61" s="218">
        <f t="shared" si="139"/>
        <v>1251.72</v>
      </c>
      <c r="W61" s="226">
        <v>1200</v>
      </c>
      <c r="X61" s="218">
        <f t="shared" si="140"/>
        <v>6375.04</v>
      </c>
      <c r="Y61" s="226">
        <v>22500</v>
      </c>
      <c r="Z61" s="218">
        <f t="shared" si="141"/>
        <v>104021.16</v>
      </c>
      <c r="AA61" s="232">
        <f t="shared" si="126"/>
        <v>315.52</v>
      </c>
      <c r="AB61" s="232">
        <f t="shared" si="127"/>
        <v>78.88</v>
      </c>
      <c r="AC61" s="232">
        <f t="shared" si="128"/>
        <v>19.72</v>
      </c>
      <c r="AD61" s="232">
        <f t="shared" si="129"/>
        <v>414.12</v>
      </c>
      <c r="AE61" s="232">
        <f t="shared" si="130"/>
        <v>315.52</v>
      </c>
      <c r="AF61" s="232">
        <f t="shared" si="131"/>
        <v>78.88</v>
      </c>
      <c r="AG61" s="232">
        <f t="shared" si="132"/>
        <v>19.72</v>
      </c>
      <c r="AH61" s="232">
        <f t="shared" si="133"/>
        <v>414.12</v>
      </c>
      <c r="AI61" s="232">
        <f t="shared" si="134"/>
        <v>0</v>
      </c>
      <c r="AJ61" s="232"/>
      <c r="AK61" s="245" t="s">
        <v>58</v>
      </c>
      <c r="AL61" s="178"/>
      <c r="AM61" s="178"/>
      <c r="AN61" s="178"/>
    </row>
    <row r="62" spans="1:40" s="177" customFormat="1" ht="13.5" hidden="1">
      <c r="A62" s="186">
        <v>48</v>
      </c>
      <c r="B62" s="186"/>
      <c r="C62" s="213" t="s">
        <v>94</v>
      </c>
      <c r="D62" s="215" t="s">
        <v>95</v>
      </c>
      <c r="E62" s="195">
        <v>4600</v>
      </c>
      <c r="F62" s="201"/>
      <c r="G62" s="201">
        <v>50</v>
      </c>
      <c r="H62" s="195">
        <v>200</v>
      </c>
      <c r="I62" s="201">
        <v>150</v>
      </c>
      <c r="J62" s="216">
        <v>264</v>
      </c>
      <c r="K62" s="221"/>
      <c r="L62" s="221">
        <v>300</v>
      </c>
      <c r="M62" s="218">
        <f t="shared" si="137"/>
        <v>5564</v>
      </c>
      <c r="N62" s="216">
        <v>5064</v>
      </c>
      <c r="O62" s="218">
        <f t="shared" si="121"/>
        <v>810.24</v>
      </c>
      <c r="P62" s="218">
        <f t="shared" si="122"/>
        <v>430.44</v>
      </c>
      <c r="Q62" s="218">
        <f t="shared" si="123"/>
        <v>25.32</v>
      </c>
      <c r="R62" s="218">
        <f t="shared" si="124"/>
        <v>14.18</v>
      </c>
      <c r="S62" s="218"/>
      <c r="T62" s="218">
        <f t="shared" si="125"/>
        <v>608</v>
      </c>
      <c r="U62" s="218">
        <f t="shared" si="138"/>
        <v>2143.86</v>
      </c>
      <c r="V62" s="218">
        <f t="shared" si="139"/>
        <v>1607.895</v>
      </c>
      <c r="W62" s="226">
        <v>1400</v>
      </c>
      <c r="X62" s="218">
        <f t="shared" si="140"/>
        <v>8552.18</v>
      </c>
      <c r="Y62" s="226">
        <v>25125</v>
      </c>
      <c r="Z62" s="218">
        <f t="shared" si="141"/>
        <v>133602.915</v>
      </c>
      <c r="AA62" s="232"/>
      <c r="AB62" s="232"/>
      <c r="AC62" s="232"/>
      <c r="AD62" s="232"/>
      <c r="AE62" s="232"/>
      <c r="AF62" s="232"/>
      <c r="AG62" s="232"/>
      <c r="AH62" s="232"/>
      <c r="AI62" s="232"/>
      <c r="AJ62" s="232" t="s">
        <v>96</v>
      </c>
      <c r="AK62" s="244" t="s">
        <v>97</v>
      </c>
      <c r="AL62" s="178"/>
      <c r="AM62" s="178"/>
      <c r="AN62" s="178"/>
    </row>
    <row r="63" spans="1:40" s="176" customFormat="1" ht="13.5" hidden="1">
      <c r="A63" s="205" t="s">
        <v>123</v>
      </c>
      <c r="B63" s="206"/>
      <c r="C63" s="206"/>
      <c r="D63" s="207"/>
      <c r="E63" s="199">
        <f aca="true" t="shared" si="142" ref="E63:J63">SUM(E57:E62)</f>
        <v>23400</v>
      </c>
      <c r="F63" s="199">
        <f t="shared" si="142"/>
        <v>0</v>
      </c>
      <c r="G63" s="199">
        <f t="shared" si="142"/>
        <v>700</v>
      </c>
      <c r="H63" s="199">
        <f t="shared" si="142"/>
        <v>700</v>
      </c>
      <c r="I63" s="199">
        <f t="shared" si="142"/>
        <v>750</v>
      </c>
      <c r="J63" s="199">
        <f t="shared" si="142"/>
        <v>1584</v>
      </c>
      <c r="K63" s="199">
        <f>SUM(K57:K61)</f>
        <v>0</v>
      </c>
      <c r="L63" s="199">
        <f aca="true" t="shared" si="143" ref="L63:Z63">SUM(L57:L62)</f>
        <v>1800</v>
      </c>
      <c r="M63" s="219">
        <f t="shared" si="143"/>
        <v>28934</v>
      </c>
      <c r="N63" s="224"/>
      <c r="O63" s="223">
        <f t="shared" si="143"/>
        <v>5173.4400000000005</v>
      </c>
      <c r="P63" s="223">
        <f t="shared" si="143"/>
        <v>2748.4100000000003</v>
      </c>
      <c r="Q63" s="223">
        <f t="shared" si="143"/>
        <v>161.69</v>
      </c>
      <c r="R63" s="223">
        <f t="shared" si="143"/>
        <v>90.53999999999999</v>
      </c>
      <c r="S63" s="223">
        <f t="shared" si="143"/>
        <v>0</v>
      </c>
      <c r="T63" s="223">
        <f t="shared" si="143"/>
        <v>3884</v>
      </c>
      <c r="U63" s="223">
        <f t="shared" si="143"/>
        <v>11808.66</v>
      </c>
      <c r="V63" s="223">
        <f t="shared" si="143"/>
        <v>8856.495</v>
      </c>
      <c r="W63" s="228">
        <f t="shared" si="143"/>
        <v>7800</v>
      </c>
      <c r="X63" s="223">
        <f t="shared" si="143"/>
        <v>46992.08</v>
      </c>
      <c r="Y63" s="228">
        <f t="shared" si="143"/>
        <v>158625</v>
      </c>
      <c r="Z63" s="223">
        <f t="shared" si="143"/>
        <v>755795.1150000001</v>
      </c>
      <c r="AA63" s="238">
        <f>(F63+W63)*12+Y63</f>
        <v>252225</v>
      </c>
      <c r="AB63" s="238"/>
      <c r="AC63" s="238"/>
      <c r="AD63" s="238"/>
      <c r="AE63" s="238"/>
      <c r="AF63" s="238"/>
      <c r="AG63" s="238"/>
      <c r="AH63" s="238"/>
      <c r="AI63" s="238">
        <f>SUM(AI57:AI60)</f>
        <v>0</v>
      </c>
      <c r="AJ63" s="238"/>
      <c r="AK63" s="246"/>
      <c r="AL63" s="178">
        <f>SUM(W57:W61)*12+W62*9+Y63</f>
        <v>248025</v>
      </c>
      <c r="AM63" s="178"/>
      <c r="AN63" s="178"/>
    </row>
    <row r="64" spans="1:40" s="176" customFormat="1" ht="14.25" hidden="1">
      <c r="A64" s="186">
        <v>49</v>
      </c>
      <c r="B64" s="186" t="s">
        <v>83</v>
      </c>
      <c r="C64" s="186" t="s">
        <v>124</v>
      </c>
      <c r="D64" s="186" t="s">
        <v>89</v>
      </c>
      <c r="E64" s="195">
        <v>5300</v>
      </c>
      <c r="F64" s="195"/>
      <c r="G64" s="201">
        <v>270</v>
      </c>
      <c r="H64" s="195"/>
      <c r="I64" s="195">
        <v>200</v>
      </c>
      <c r="J64" s="216">
        <v>264</v>
      </c>
      <c r="K64" s="216"/>
      <c r="L64" s="216">
        <v>300</v>
      </c>
      <c r="M64" s="218">
        <f aca="true" t="shared" si="144" ref="M64:M68">SUM(E64:L64)</f>
        <v>6334</v>
      </c>
      <c r="N64" s="216">
        <v>7393</v>
      </c>
      <c r="O64" s="218">
        <f aca="true" t="shared" si="145" ref="O64:O66">ROUND(IF(N64&gt;3925.8,N64,3925.8)*16%,2)</f>
        <v>1182.88</v>
      </c>
      <c r="P64" s="218">
        <f aca="true" t="shared" si="146" ref="P64:P66">ROUND(IF(N64&gt;3925.8,N64,3925.8)*8.5%,2)</f>
        <v>628.41</v>
      </c>
      <c r="Q64" s="218">
        <f aca="true" t="shared" si="147" ref="Q64:Q66">ROUND(IF(N64&gt;3925.8,N64,3925.8)*0.5%,2)</f>
        <v>36.97</v>
      </c>
      <c r="R64" s="218">
        <f aca="true" t="shared" si="148" ref="R64:R66">ROUND(IF(N64&gt;3925.8,N64,3925.8)*0.28%,2)</f>
        <v>20.7</v>
      </c>
      <c r="S64" s="218"/>
      <c r="T64" s="218">
        <f aca="true" t="shared" si="149" ref="T64:T66">CEILING(N64*12%,1)</f>
        <v>888</v>
      </c>
      <c r="U64" s="218">
        <f aca="true" t="shared" si="150" ref="U64:U67">((SUM(E64:J64)+W64)*12+L64*7+Y64)*2%</f>
        <v>2600.16</v>
      </c>
      <c r="V64" s="218">
        <f aca="true" t="shared" si="151" ref="V64:V67">((SUM(E64:J64)+W64)*12+L64*7+Y64)*1.5%</f>
        <v>1950.12</v>
      </c>
      <c r="W64" s="226">
        <v>1500</v>
      </c>
      <c r="X64" s="218">
        <f aca="true" t="shared" si="152" ref="X64:X68">SUM(E64:J64)+SUM(O64:T64)+W64</f>
        <v>10290.96</v>
      </c>
      <c r="Y64" s="226">
        <v>37500</v>
      </c>
      <c r="Z64" s="218">
        <f aca="true" t="shared" si="153" ref="Z64:Z67">X64*12+Y64+U64+V64+L64*7</f>
        <v>167641.8</v>
      </c>
      <c r="AA64" s="232">
        <f aca="true" t="shared" si="154" ref="AA64:AA68">ROUND(N64*8%,2)</f>
        <v>591.44</v>
      </c>
      <c r="AB64" s="232">
        <f aca="true" t="shared" si="155" ref="AB64:AB68">ROUND(N64*2%,2)</f>
        <v>147.86</v>
      </c>
      <c r="AC64" s="232">
        <f aca="true" t="shared" si="156" ref="AC64:AC68">ROUND(N64*0.5%,2)</f>
        <v>36.97</v>
      </c>
      <c r="AD64" s="232">
        <f aca="true" t="shared" si="157" ref="AD64:AD68">SUM(AA64:AC64)</f>
        <v>776.2700000000001</v>
      </c>
      <c r="AE64" s="232">
        <f aca="true" t="shared" si="158" ref="AE64:AE68">ROUND(IF(N64&gt;3453*105%,N64,3453*105%)*8%,2)</f>
        <v>591.44</v>
      </c>
      <c r="AF64" s="232">
        <f aca="true" t="shared" si="159" ref="AF64:AF68">ROUND(IF(N64&gt;3453*105%,N64,3453*105%)*2%,2)</f>
        <v>147.86</v>
      </c>
      <c r="AG64" s="232">
        <f aca="true" t="shared" si="160" ref="AG64:AG68">ROUND(IF(N64&gt;3453*105%,N64,3453*105%)*0.5%,2)</f>
        <v>36.97</v>
      </c>
      <c r="AH64" s="232">
        <f aca="true" t="shared" si="161" ref="AH64:AH68">SUM(AE64:AG64)</f>
        <v>776.2700000000001</v>
      </c>
      <c r="AI64" s="232">
        <f aca="true" t="shared" si="162" ref="AI64:AI66">AH64-AD64</f>
        <v>0</v>
      </c>
      <c r="AJ64" s="242"/>
      <c r="AK64" s="245" t="s">
        <v>42</v>
      </c>
      <c r="AL64" s="178"/>
      <c r="AM64" s="178"/>
      <c r="AN64" s="178"/>
    </row>
    <row r="65" spans="1:40" s="176" customFormat="1" ht="13.5" hidden="1">
      <c r="A65" s="186">
        <v>50</v>
      </c>
      <c r="B65" s="186" t="s">
        <v>99</v>
      </c>
      <c r="C65" s="186" t="s">
        <v>125</v>
      </c>
      <c r="D65" s="186" t="s">
        <v>58</v>
      </c>
      <c r="E65" s="195">
        <v>4600</v>
      </c>
      <c r="F65" s="195"/>
      <c r="G65" s="201">
        <v>170</v>
      </c>
      <c r="H65" s="195"/>
      <c r="I65" s="195">
        <v>100</v>
      </c>
      <c r="J65" s="216">
        <v>264</v>
      </c>
      <c r="K65" s="216"/>
      <c r="L65" s="216">
        <v>300</v>
      </c>
      <c r="M65" s="218">
        <f t="shared" si="144"/>
        <v>5434</v>
      </c>
      <c r="N65" s="216">
        <v>6334</v>
      </c>
      <c r="O65" s="218">
        <f t="shared" si="145"/>
        <v>1013.44</v>
      </c>
      <c r="P65" s="218">
        <f t="shared" si="146"/>
        <v>538.39</v>
      </c>
      <c r="Q65" s="218">
        <f t="shared" si="147"/>
        <v>31.67</v>
      </c>
      <c r="R65" s="218">
        <f t="shared" si="148"/>
        <v>17.74</v>
      </c>
      <c r="S65" s="218"/>
      <c r="T65" s="218">
        <f t="shared" si="149"/>
        <v>761</v>
      </c>
      <c r="U65" s="218">
        <f t="shared" si="150"/>
        <v>2012.16</v>
      </c>
      <c r="V65" s="218">
        <f t="shared" si="151"/>
        <v>1509.12</v>
      </c>
      <c r="W65" s="226">
        <v>1200</v>
      </c>
      <c r="X65" s="218">
        <f t="shared" si="152"/>
        <v>8696.24</v>
      </c>
      <c r="Y65" s="226">
        <v>22500</v>
      </c>
      <c r="Z65" s="218">
        <f t="shared" si="153"/>
        <v>132476.16</v>
      </c>
      <c r="AA65" s="232">
        <f t="shared" si="154"/>
        <v>506.72</v>
      </c>
      <c r="AB65" s="232">
        <f t="shared" si="155"/>
        <v>126.68</v>
      </c>
      <c r="AC65" s="232">
        <f t="shared" si="156"/>
        <v>31.67</v>
      </c>
      <c r="AD65" s="232">
        <f t="shared" si="157"/>
        <v>665.07</v>
      </c>
      <c r="AE65" s="232">
        <f t="shared" si="158"/>
        <v>506.72</v>
      </c>
      <c r="AF65" s="232">
        <f t="shared" si="159"/>
        <v>126.68</v>
      </c>
      <c r="AG65" s="232">
        <f t="shared" si="160"/>
        <v>31.67</v>
      </c>
      <c r="AH65" s="232">
        <f t="shared" si="161"/>
        <v>665.07</v>
      </c>
      <c r="AI65" s="232">
        <f t="shared" si="162"/>
        <v>0</v>
      </c>
      <c r="AJ65" s="178"/>
      <c r="AK65" s="245" t="s">
        <v>58</v>
      </c>
      <c r="AL65" s="178"/>
      <c r="AM65" s="178"/>
      <c r="AN65" s="178"/>
    </row>
    <row r="66" spans="1:40" s="176" customFormat="1" ht="13.5" hidden="1">
      <c r="A66" s="186">
        <v>51</v>
      </c>
      <c r="B66" s="186" t="s">
        <v>99</v>
      </c>
      <c r="C66" s="186" t="s">
        <v>126</v>
      </c>
      <c r="D66" s="186" t="s">
        <v>58</v>
      </c>
      <c r="E66" s="195">
        <v>3200</v>
      </c>
      <c r="F66" s="201"/>
      <c r="G66" s="201">
        <v>40</v>
      </c>
      <c r="H66" s="195"/>
      <c r="I66" s="195">
        <v>100</v>
      </c>
      <c r="J66" s="216">
        <v>264</v>
      </c>
      <c r="K66" s="221"/>
      <c r="L66" s="216">
        <v>300</v>
      </c>
      <c r="M66" s="218">
        <f t="shared" si="144"/>
        <v>3904</v>
      </c>
      <c r="N66" s="216">
        <v>4904</v>
      </c>
      <c r="O66" s="218">
        <f t="shared" si="145"/>
        <v>784.64</v>
      </c>
      <c r="P66" s="218">
        <f t="shared" si="146"/>
        <v>416.84</v>
      </c>
      <c r="Q66" s="218">
        <f t="shared" si="147"/>
        <v>24.52</v>
      </c>
      <c r="R66" s="218">
        <f t="shared" si="148"/>
        <v>13.73</v>
      </c>
      <c r="S66" s="218"/>
      <c r="T66" s="218">
        <f t="shared" si="149"/>
        <v>589</v>
      </c>
      <c r="U66" s="218">
        <f t="shared" si="150"/>
        <v>1644.96</v>
      </c>
      <c r="V66" s="218">
        <f t="shared" si="151"/>
        <v>1233.72</v>
      </c>
      <c r="W66" s="226">
        <v>1200</v>
      </c>
      <c r="X66" s="218">
        <f t="shared" si="152"/>
        <v>6632.73</v>
      </c>
      <c r="Y66" s="226">
        <v>22500</v>
      </c>
      <c r="Z66" s="218">
        <f t="shared" si="153"/>
        <v>107071.44</v>
      </c>
      <c r="AA66" s="232">
        <f t="shared" si="154"/>
        <v>392.32</v>
      </c>
      <c r="AB66" s="232">
        <f t="shared" si="155"/>
        <v>98.08</v>
      </c>
      <c r="AC66" s="232">
        <f t="shared" si="156"/>
        <v>24.52</v>
      </c>
      <c r="AD66" s="232">
        <f t="shared" si="157"/>
        <v>514.92</v>
      </c>
      <c r="AE66" s="232">
        <f t="shared" si="158"/>
        <v>392.32</v>
      </c>
      <c r="AF66" s="232">
        <f t="shared" si="159"/>
        <v>98.08</v>
      </c>
      <c r="AG66" s="232">
        <f t="shared" si="160"/>
        <v>24.52</v>
      </c>
      <c r="AH66" s="232">
        <f t="shared" si="161"/>
        <v>514.92</v>
      </c>
      <c r="AI66" s="232">
        <f t="shared" si="162"/>
        <v>0</v>
      </c>
      <c r="AJ66" s="232"/>
      <c r="AK66" s="245" t="s">
        <v>58</v>
      </c>
      <c r="AL66" s="178"/>
      <c r="AM66" s="178"/>
      <c r="AN66" s="178"/>
    </row>
    <row r="67" spans="1:40" s="176" customFormat="1" ht="13.5" hidden="1">
      <c r="A67" s="186"/>
      <c r="B67" s="186"/>
      <c r="C67" s="214" t="s">
        <v>76</v>
      </c>
      <c r="D67" s="186" t="s">
        <v>57</v>
      </c>
      <c r="E67" s="195">
        <v>700</v>
      </c>
      <c r="F67" s="201"/>
      <c r="G67" s="201"/>
      <c r="H67" s="195"/>
      <c r="I67" s="195"/>
      <c r="J67" s="216"/>
      <c r="K67" s="221"/>
      <c r="L67" s="216"/>
      <c r="M67" s="218">
        <f t="shared" si="144"/>
        <v>700</v>
      </c>
      <c r="N67" s="216"/>
      <c r="O67" s="218"/>
      <c r="P67" s="218"/>
      <c r="Q67" s="218"/>
      <c r="R67" s="218"/>
      <c r="S67" s="218"/>
      <c r="T67" s="218"/>
      <c r="U67" s="218">
        <f t="shared" si="150"/>
        <v>312</v>
      </c>
      <c r="V67" s="218">
        <f t="shared" si="151"/>
        <v>234</v>
      </c>
      <c r="W67" s="226">
        <v>100</v>
      </c>
      <c r="X67" s="218">
        <f t="shared" si="152"/>
        <v>800</v>
      </c>
      <c r="Y67" s="226">
        <v>6000</v>
      </c>
      <c r="Z67" s="218">
        <f t="shared" si="153"/>
        <v>16146</v>
      </c>
      <c r="AA67" s="232">
        <f t="shared" si="154"/>
        <v>0</v>
      </c>
      <c r="AB67" s="232">
        <f t="shared" si="155"/>
        <v>0</v>
      </c>
      <c r="AC67" s="232">
        <f t="shared" si="156"/>
        <v>0</v>
      </c>
      <c r="AD67" s="232">
        <f t="shared" si="157"/>
        <v>0</v>
      </c>
      <c r="AE67" s="232">
        <f t="shared" si="158"/>
        <v>290.05</v>
      </c>
      <c r="AF67" s="232">
        <f t="shared" si="159"/>
        <v>72.51</v>
      </c>
      <c r="AG67" s="232">
        <f t="shared" si="160"/>
        <v>18.13</v>
      </c>
      <c r="AH67" s="232">
        <f t="shared" si="161"/>
        <v>380.69</v>
      </c>
      <c r="AI67" s="232"/>
      <c r="AJ67" s="232" t="s">
        <v>77</v>
      </c>
      <c r="AK67" s="245" t="s">
        <v>58</v>
      </c>
      <c r="AL67" s="178"/>
      <c r="AM67" s="178"/>
      <c r="AN67" s="178"/>
    </row>
    <row r="68" spans="1:40" s="176" customFormat="1" ht="13.5" hidden="1">
      <c r="A68" s="186">
        <v>52</v>
      </c>
      <c r="B68" s="186"/>
      <c r="C68" s="194" t="s">
        <v>94</v>
      </c>
      <c r="D68" s="186" t="s">
        <v>95</v>
      </c>
      <c r="E68" s="195">
        <v>4600</v>
      </c>
      <c r="F68" s="201"/>
      <c r="G68" s="195">
        <v>50</v>
      </c>
      <c r="H68" s="195">
        <v>200</v>
      </c>
      <c r="I68" s="195">
        <v>150</v>
      </c>
      <c r="J68" s="216">
        <v>264</v>
      </c>
      <c r="K68" s="221"/>
      <c r="L68" s="216">
        <v>300</v>
      </c>
      <c r="M68" s="218">
        <f t="shared" si="144"/>
        <v>5564</v>
      </c>
      <c r="N68" s="216">
        <v>4864</v>
      </c>
      <c r="O68" s="218">
        <f aca="true" t="shared" si="163" ref="O68:O73">ROUND(IF(N68&gt;3925.8,N68,3925.8)*16%,2)</f>
        <v>778.24</v>
      </c>
      <c r="P68" s="218">
        <f aca="true" t="shared" si="164" ref="P68:P73">ROUND(IF(N68&gt;3925.8,N68,3925.8)*8.5%,2)</f>
        <v>413.44</v>
      </c>
      <c r="Q68" s="218">
        <f aca="true" t="shared" si="165" ref="Q68:Q73">ROUND(IF(N68&gt;3925.8,N68,3925.8)*0.5%,2)</f>
        <v>24.32</v>
      </c>
      <c r="R68" s="218">
        <f aca="true" t="shared" si="166" ref="R68:R73">ROUND(IF(N68&gt;3925.8,N68,3925.8)*0.28%,2)</f>
        <v>13.62</v>
      </c>
      <c r="S68" s="218"/>
      <c r="T68" s="218">
        <f aca="true" t="shared" si="167" ref="T68:T74">CEILING(N68*12%,1)</f>
        <v>584</v>
      </c>
      <c r="U68" s="218">
        <f>((SUM(E68:J68)+W68)*9+L68*7+Y68)*2%</f>
        <v>1744.02</v>
      </c>
      <c r="V68" s="218">
        <f>((SUM(E68:J68)+W68)*9+L68*7+Y68)*1.5%</f>
        <v>1308.0149999999999</v>
      </c>
      <c r="W68" s="226">
        <v>1400</v>
      </c>
      <c r="X68" s="218">
        <f t="shared" si="152"/>
        <v>8477.619999999999</v>
      </c>
      <c r="Y68" s="226">
        <f>33500/4*3</f>
        <v>25125</v>
      </c>
      <c r="Z68" s="218">
        <f>X68*9+Y68+U68+V68+L68*7</f>
        <v>106575.61499999999</v>
      </c>
      <c r="AA68" s="232">
        <f t="shared" si="154"/>
        <v>389.12</v>
      </c>
      <c r="AB68" s="232">
        <f t="shared" si="155"/>
        <v>97.28</v>
      </c>
      <c r="AC68" s="232">
        <f t="shared" si="156"/>
        <v>24.32</v>
      </c>
      <c r="AD68" s="232">
        <f t="shared" si="157"/>
        <v>510.71999999999997</v>
      </c>
      <c r="AE68" s="232">
        <f t="shared" si="158"/>
        <v>389.12</v>
      </c>
      <c r="AF68" s="232">
        <f t="shared" si="159"/>
        <v>97.28</v>
      </c>
      <c r="AG68" s="232">
        <f t="shared" si="160"/>
        <v>24.32</v>
      </c>
      <c r="AH68" s="232">
        <f t="shared" si="161"/>
        <v>510.71999999999997</v>
      </c>
      <c r="AI68" s="232">
        <f aca="true" t="shared" si="168" ref="AI68:AI73">AH68-AD68</f>
        <v>0</v>
      </c>
      <c r="AJ68" s="232" t="s">
        <v>96</v>
      </c>
      <c r="AK68" s="244" t="s">
        <v>97</v>
      </c>
      <c r="AL68" s="178"/>
      <c r="AM68" s="178"/>
      <c r="AN68" s="178"/>
    </row>
    <row r="69" spans="1:40" s="176" customFormat="1" ht="13.5" hidden="1">
      <c r="A69" s="205" t="s">
        <v>127</v>
      </c>
      <c r="B69" s="206"/>
      <c r="C69" s="206"/>
      <c r="D69" s="207"/>
      <c r="E69" s="199">
        <f aca="true" t="shared" si="169" ref="E69:M69">SUM(E64:E68)</f>
        <v>18400</v>
      </c>
      <c r="F69" s="199">
        <f t="shared" si="169"/>
        <v>0</v>
      </c>
      <c r="G69" s="199">
        <f t="shared" si="169"/>
        <v>530</v>
      </c>
      <c r="H69" s="199">
        <f t="shared" si="169"/>
        <v>200</v>
      </c>
      <c r="I69" s="199">
        <f t="shared" si="169"/>
        <v>550</v>
      </c>
      <c r="J69" s="199">
        <f t="shared" si="169"/>
        <v>1056</v>
      </c>
      <c r="K69" s="199">
        <f t="shared" si="169"/>
        <v>0</v>
      </c>
      <c r="L69" s="199">
        <f t="shared" si="169"/>
        <v>1200</v>
      </c>
      <c r="M69" s="219">
        <f t="shared" si="169"/>
        <v>21936</v>
      </c>
      <c r="N69" s="224"/>
      <c r="O69" s="223">
        <f aca="true" t="shared" si="170" ref="O69:Z69">SUM(O64:O68)</f>
        <v>3759.2</v>
      </c>
      <c r="P69" s="223">
        <f t="shared" si="170"/>
        <v>1997.08</v>
      </c>
      <c r="Q69" s="223">
        <f t="shared" si="170"/>
        <v>117.47999999999999</v>
      </c>
      <c r="R69" s="223">
        <f t="shared" si="170"/>
        <v>65.79</v>
      </c>
      <c r="S69" s="223">
        <f t="shared" si="170"/>
        <v>0</v>
      </c>
      <c r="T69" s="223">
        <f t="shared" si="170"/>
        <v>2822</v>
      </c>
      <c r="U69" s="223">
        <f t="shared" si="170"/>
        <v>8313.3</v>
      </c>
      <c r="V69" s="223">
        <f t="shared" si="170"/>
        <v>6234.975</v>
      </c>
      <c r="W69" s="228">
        <f t="shared" si="170"/>
        <v>5400</v>
      </c>
      <c r="X69" s="223">
        <f t="shared" si="170"/>
        <v>34897.549999999996</v>
      </c>
      <c r="Y69" s="228">
        <f t="shared" si="170"/>
        <v>113625</v>
      </c>
      <c r="Z69" s="223">
        <f t="shared" si="170"/>
        <v>529911.0149999999</v>
      </c>
      <c r="AA69" s="238">
        <f>(F69+W69)*12+Y69</f>
        <v>178425</v>
      </c>
      <c r="AB69" s="238"/>
      <c r="AC69" s="238"/>
      <c r="AD69" s="238"/>
      <c r="AE69" s="238"/>
      <c r="AF69" s="238"/>
      <c r="AG69" s="238"/>
      <c r="AH69" s="238"/>
      <c r="AI69" s="238">
        <f>SUM(AI64:AI66)</f>
        <v>0</v>
      </c>
      <c r="AJ69" s="238"/>
      <c r="AK69" s="246"/>
      <c r="AL69" s="178">
        <f>SUM(W64:W67)*12+W68*9+Y69</f>
        <v>174225</v>
      </c>
      <c r="AM69" s="178"/>
      <c r="AN69" s="178"/>
    </row>
    <row r="70" spans="1:40" s="176" customFormat="1" ht="13.5" hidden="1">
      <c r="A70" s="186">
        <v>53</v>
      </c>
      <c r="B70" s="186" t="s">
        <v>128</v>
      </c>
      <c r="C70" s="186" t="s">
        <v>129</v>
      </c>
      <c r="D70" s="186" t="s">
        <v>89</v>
      </c>
      <c r="E70" s="195">
        <v>5300</v>
      </c>
      <c r="F70" s="195"/>
      <c r="G70" s="201">
        <v>300</v>
      </c>
      <c r="H70" s="195" t="s">
        <v>66</v>
      </c>
      <c r="I70" s="195">
        <v>250</v>
      </c>
      <c r="J70" s="216">
        <v>264</v>
      </c>
      <c r="K70" s="216"/>
      <c r="L70" s="216">
        <v>300</v>
      </c>
      <c r="M70" s="218">
        <f aca="true" t="shared" si="171" ref="M70:M74">SUM(E70:L70)</f>
        <v>6414</v>
      </c>
      <c r="N70" s="216">
        <v>7529</v>
      </c>
      <c r="O70" s="218">
        <f t="shared" si="163"/>
        <v>1204.64</v>
      </c>
      <c r="P70" s="218">
        <f t="shared" si="164"/>
        <v>639.97</v>
      </c>
      <c r="Q70" s="218">
        <f t="shared" si="165"/>
        <v>37.65</v>
      </c>
      <c r="R70" s="218">
        <f t="shared" si="166"/>
        <v>21.08</v>
      </c>
      <c r="S70" s="218"/>
      <c r="T70" s="218">
        <f t="shared" si="167"/>
        <v>904</v>
      </c>
      <c r="U70" s="218">
        <f aca="true" t="shared" si="172" ref="U70:U74">((SUM(E70:J70)+W70)*12+L70*7+Y70)*2%</f>
        <v>2619.36</v>
      </c>
      <c r="V70" s="218">
        <f aca="true" t="shared" si="173" ref="V70:V74">((SUM(E70:J70)+W70)*12+L70*7+Y70)*1.5%</f>
        <v>1964.52</v>
      </c>
      <c r="W70" s="226">
        <v>1500</v>
      </c>
      <c r="X70" s="218">
        <f aca="true" t="shared" si="174" ref="X70:X74">SUM(E70:J70)+SUM(O70:T70)+W70</f>
        <v>10421.34</v>
      </c>
      <c r="Y70" s="226">
        <v>37500</v>
      </c>
      <c r="Z70" s="218">
        <f aca="true" t="shared" si="175" ref="Z70:Z74">X70*12+Y70+U70+V70+L70*7</f>
        <v>169239.96</v>
      </c>
      <c r="AA70" s="232">
        <f aca="true" t="shared" si="176" ref="AA70:AA73">ROUND(N70*8%,2)</f>
        <v>602.32</v>
      </c>
      <c r="AB70" s="232">
        <f aca="true" t="shared" si="177" ref="AB70:AB73">ROUND(N70*2%,2)</f>
        <v>150.58</v>
      </c>
      <c r="AC70" s="232">
        <f aca="true" t="shared" si="178" ref="AC70:AC73">ROUND(N70*0.5%,2)</f>
        <v>37.65</v>
      </c>
      <c r="AD70" s="232">
        <f aca="true" t="shared" si="179" ref="AD70:AD73">SUM(AA70:AC70)</f>
        <v>790.5500000000001</v>
      </c>
      <c r="AE70" s="232">
        <f aca="true" t="shared" si="180" ref="AE70:AE73">ROUND(IF(N70&gt;3453*105%,N70,3453*105%)*8%,2)</f>
        <v>602.32</v>
      </c>
      <c r="AF70" s="232">
        <f aca="true" t="shared" si="181" ref="AF70:AF73">ROUND(IF(N70&gt;3453*105%,N70,3453*105%)*2%,2)</f>
        <v>150.58</v>
      </c>
      <c r="AG70" s="232">
        <f aca="true" t="shared" si="182" ref="AG70:AG73">ROUND(IF(N70&gt;3453*105%,N70,3453*105%)*0.5%,2)</f>
        <v>37.65</v>
      </c>
      <c r="AH70" s="232">
        <f aca="true" t="shared" si="183" ref="AH70:AH73">SUM(AE70:AG70)</f>
        <v>790.5500000000001</v>
      </c>
      <c r="AI70" s="232">
        <f t="shared" si="168"/>
        <v>0</v>
      </c>
      <c r="AJ70" s="232"/>
      <c r="AK70" s="245" t="s">
        <v>42</v>
      </c>
      <c r="AL70" s="178"/>
      <c r="AM70" s="178"/>
      <c r="AN70" s="178"/>
    </row>
    <row r="71" spans="1:40" s="176" customFormat="1" ht="13.5" hidden="1">
      <c r="A71" s="186">
        <v>54</v>
      </c>
      <c r="B71" s="186" t="s">
        <v>128</v>
      </c>
      <c r="C71" s="200" t="s">
        <v>130</v>
      </c>
      <c r="D71" s="200" t="s">
        <v>95</v>
      </c>
      <c r="E71" s="195">
        <v>4600</v>
      </c>
      <c r="F71" s="201"/>
      <c r="G71" s="201">
        <v>70</v>
      </c>
      <c r="H71" s="195"/>
      <c r="I71" s="201">
        <v>150</v>
      </c>
      <c r="J71" s="216">
        <v>264</v>
      </c>
      <c r="K71" s="216"/>
      <c r="L71" s="216">
        <v>300</v>
      </c>
      <c r="M71" s="218">
        <f t="shared" si="171"/>
        <v>5384</v>
      </c>
      <c r="N71" s="216">
        <v>5918</v>
      </c>
      <c r="O71" s="218">
        <f t="shared" si="163"/>
        <v>946.88</v>
      </c>
      <c r="P71" s="218">
        <f t="shared" si="164"/>
        <v>503.03</v>
      </c>
      <c r="Q71" s="218">
        <f t="shared" si="165"/>
        <v>29.59</v>
      </c>
      <c r="R71" s="218">
        <f t="shared" si="166"/>
        <v>16.57</v>
      </c>
      <c r="S71" s="218"/>
      <c r="T71" s="218">
        <f t="shared" si="167"/>
        <v>711</v>
      </c>
      <c r="U71" s="218">
        <f t="shared" si="172"/>
        <v>2268.16</v>
      </c>
      <c r="V71" s="218">
        <f t="shared" si="173"/>
        <v>1701.12</v>
      </c>
      <c r="W71" s="226">
        <v>1400</v>
      </c>
      <c r="X71" s="218">
        <f t="shared" si="174"/>
        <v>8691.07</v>
      </c>
      <c r="Y71" s="226">
        <v>33500</v>
      </c>
      <c r="Z71" s="218">
        <f t="shared" si="175"/>
        <v>143862.12</v>
      </c>
      <c r="AA71" s="232">
        <f t="shared" si="176"/>
        <v>473.44</v>
      </c>
      <c r="AB71" s="232">
        <f t="shared" si="177"/>
        <v>118.36</v>
      </c>
      <c r="AC71" s="232">
        <f t="shared" si="178"/>
        <v>29.59</v>
      </c>
      <c r="AD71" s="232">
        <f t="shared" si="179"/>
        <v>621.39</v>
      </c>
      <c r="AE71" s="232">
        <f t="shared" si="180"/>
        <v>473.44</v>
      </c>
      <c r="AF71" s="232">
        <f t="shared" si="181"/>
        <v>118.36</v>
      </c>
      <c r="AG71" s="232">
        <f t="shared" si="182"/>
        <v>29.59</v>
      </c>
      <c r="AH71" s="232">
        <f t="shared" si="183"/>
        <v>621.39</v>
      </c>
      <c r="AI71" s="232">
        <f t="shared" si="168"/>
        <v>0</v>
      </c>
      <c r="AJ71" s="232"/>
      <c r="AK71" s="245" t="s">
        <v>42</v>
      </c>
      <c r="AL71" s="178"/>
      <c r="AM71" s="178"/>
      <c r="AN71" s="178"/>
    </row>
    <row r="72" spans="1:40" s="176" customFormat="1" ht="13.5" hidden="1">
      <c r="A72" s="186">
        <v>55</v>
      </c>
      <c r="B72" s="186" t="s">
        <v>128</v>
      </c>
      <c r="C72" s="200" t="s">
        <v>131</v>
      </c>
      <c r="D72" s="200" t="s">
        <v>58</v>
      </c>
      <c r="E72" s="195">
        <v>3200</v>
      </c>
      <c r="F72" s="201"/>
      <c r="G72" s="201">
        <v>70</v>
      </c>
      <c r="H72" s="195"/>
      <c r="I72" s="201">
        <v>100</v>
      </c>
      <c r="J72" s="216">
        <v>264</v>
      </c>
      <c r="K72" s="216"/>
      <c r="L72" s="216">
        <v>300</v>
      </c>
      <c r="M72" s="218">
        <f t="shared" si="171"/>
        <v>3934</v>
      </c>
      <c r="N72" s="216">
        <v>4007</v>
      </c>
      <c r="O72" s="218">
        <f t="shared" si="163"/>
        <v>641.12</v>
      </c>
      <c r="P72" s="218">
        <f t="shared" si="164"/>
        <v>340.6</v>
      </c>
      <c r="Q72" s="218">
        <f t="shared" si="165"/>
        <v>20.04</v>
      </c>
      <c r="R72" s="218">
        <f t="shared" si="166"/>
        <v>11.22</v>
      </c>
      <c r="S72" s="218"/>
      <c r="T72" s="218">
        <f t="shared" si="167"/>
        <v>481</v>
      </c>
      <c r="U72" s="218">
        <f t="shared" si="172"/>
        <v>1652.16</v>
      </c>
      <c r="V72" s="218">
        <f t="shared" si="173"/>
        <v>1239.12</v>
      </c>
      <c r="W72" s="226">
        <v>1200</v>
      </c>
      <c r="X72" s="218">
        <f t="shared" si="174"/>
        <v>6327.98</v>
      </c>
      <c r="Y72" s="226">
        <v>22500</v>
      </c>
      <c r="Z72" s="218">
        <f t="shared" si="175"/>
        <v>103427.04</v>
      </c>
      <c r="AA72" s="232">
        <f t="shared" si="176"/>
        <v>320.56</v>
      </c>
      <c r="AB72" s="232">
        <f t="shared" si="177"/>
        <v>80.14</v>
      </c>
      <c r="AC72" s="232">
        <f t="shared" si="178"/>
        <v>20.04</v>
      </c>
      <c r="AD72" s="232">
        <f t="shared" si="179"/>
        <v>420.74</v>
      </c>
      <c r="AE72" s="232">
        <f t="shared" si="180"/>
        <v>320.56</v>
      </c>
      <c r="AF72" s="232">
        <f t="shared" si="181"/>
        <v>80.14</v>
      </c>
      <c r="AG72" s="232">
        <f t="shared" si="182"/>
        <v>20.04</v>
      </c>
      <c r="AH72" s="232">
        <f t="shared" si="183"/>
        <v>420.74</v>
      </c>
      <c r="AI72" s="232">
        <f t="shared" si="168"/>
        <v>0</v>
      </c>
      <c r="AJ72" s="232"/>
      <c r="AK72" s="245" t="s">
        <v>58</v>
      </c>
      <c r="AL72" s="178"/>
      <c r="AM72" s="178"/>
      <c r="AN72" s="178"/>
    </row>
    <row r="73" spans="1:40" s="177" customFormat="1" ht="13.5" hidden="1">
      <c r="A73" s="186">
        <v>56</v>
      </c>
      <c r="B73" s="186" t="s">
        <v>128</v>
      </c>
      <c r="C73" s="200" t="s">
        <v>132</v>
      </c>
      <c r="D73" s="200" t="s">
        <v>58</v>
      </c>
      <c r="E73" s="195">
        <v>3200</v>
      </c>
      <c r="F73" s="201"/>
      <c r="G73" s="201">
        <v>40</v>
      </c>
      <c r="H73" s="195"/>
      <c r="I73" s="201">
        <v>100</v>
      </c>
      <c r="J73" s="216">
        <v>264</v>
      </c>
      <c r="K73" s="216"/>
      <c r="L73" s="216">
        <v>300</v>
      </c>
      <c r="M73" s="218">
        <f t="shared" si="171"/>
        <v>3904</v>
      </c>
      <c r="N73" s="216">
        <v>4804</v>
      </c>
      <c r="O73" s="218">
        <f t="shared" si="163"/>
        <v>768.64</v>
      </c>
      <c r="P73" s="218">
        <f t="shared" si="164"/>
        <v>408.34</v>
      </c>
      <c r="Q73" s="218">
        <f t="shared" si="165"/>
        <v>24.02</v>
      </c>
      <c r="R73" s="218">
        <f t="shared" si="166"/>
        <v>13.45</v>
      </c>
      <c r="S73" s="218"/>
      <c r="T73" s="218">
        <f t="shared" si="167"/>
        <v>577</v>
      </c>
      <c r="U73" s="218">
        <f t="shared" si="172"/>
        <v>1644.96</v>
      </c>
      <c r="V73" s="218">
        <f t="shared" si="173"/>
        <v>1233.72</v>
      </c>
      <c r="W73" s="226">
        <v>1200</v>
      </c>
      <c r="X73" s="218">
        <f t="shared" si="174"/>
        <v>6595.45</v>
      </c>
      <c r="Y73" s="226">
        <v>22500</v>
      </c>
      <c r="Z73" s="218">
        <f t="shared" si="175"/>
        <v>106624.08</v>
      </c>
      <c r="AA73" s="232">
        <f t="shared" si="176"/>
        <v>384.32</v>
      </c>
      <c r="AB73" s="232">
        <f t="shared" si="177"/>
        <v>96.08</v>
      </c>
      <c r="AC73" s="232">
        <f t="shared" si="178"/>
        <v>24.02</v>
      </c>
      <c r="AD73" s="232">
        <f t="shared" si="179"/>
        <v>504.41999999999996</v>
      </c>
      <c r="AE73" s="232">
        <f t="shared" si="180"/>
        <v>384.32</v>
      </c>
      <c r="AF73" s="232">
        <f t="shared" si="181"/>
        <v>96.08</v>
      </c>
      <c r="AG73" s="232">
        <f t="shared" si="182"/>
        <v>24.02</v>
      </c>
      <c r="AH73" s="232">
        <f t="shared" si="183"/>
        <v>504.41999999999996</v>
      </c>
      <c r="AI73" s="232">
        <f t="shared" si="168"/>
        <v>0</v>
      </c>
      <c r="AJ73" s="232"/>
      <c r="AK73" s="245" t="s">
        <v>58</v>
      </c>
      <c r="AL73" s="178"/>
      <c r="AM73" s="178"/>
      <c r="AN73" s="178"/>
    </row>
    <row r="74" spans="1:40" s="176" customFormat="1" ht="13.5" hidden="1">
      <c r="A74" s="186"/>
      <c r="B74" s="186"/>
      <c r="C74" s="214" t="s">
        <v>76</v>
      </c>
      <c r="D74" s="200"/>
      <c r="E74" s="195">
        <f>3900-E73</f>
        <v>700</v>
      </c>
      <c r="F74" s="201"/>
      <c r="G74" s="201"/>
      <c r="H74" s="195"/>
      <c r="I74" s="201"/>
      <c r="J74" s="216"/>
      <c r="K74" s="216"/>
      <c r="L74" s="216"/>
      <c r="M74" s="218">
        <f t="shared" si="171"/>
        <v>700</v>
      </c>
      <c r="N74" s="216"/>
      <c r="O74" s="218"/>
      <c r="P74" s="218"/>
      <c r="Q74" s="218"/>
      <c r="R74" s="218"/>
      <c r="S74" s="218"/>
      <c r="T74" s="218">
        <f t="shared" si="167"/>
        <v>0</v>
      </c>
      <c r="U74" s="218">
        <f t="shared" si="172"/>
        <v>312</v>
      </c>
      <c r="V74" s="218">
        <f t="shared" si="173"/>
        <v>234</v>
      </c>
      <c r="W74" s="226">
        <v>100</v>
      </c>
      <c r="X74" s="218">
        <f t="shared" si="174"/>
        <v>800</v>
      </c>
      <c r="Y74" s="226">
        <f>28500-22500</f>
        <v>6000</v>
      </c>
      <c r="Z74" s="218">
        <f t="shared" si="175"/>
        <v>16146</v>
      </c>
      <c r="AA74" s="232"/>
      <c r="AB74" s="232"/>
      <c r="AC74" s="232"/>
      <c r="AD74" s="232"/>
      <c r="AE74" s="232"/>
      <c r="AF74" s="232"/>
      <c r="AG74" s="232"/>
      <c r="AH74" s="232"/>
      <c r="AI74" s="232"/>
      <c r="AJ74" s="232" t="s">
        <v>115</v>
      </c>
      <c r="AK74" s="245" t="s">
        <v>58</v>
      </c>
      <c r="AL74" s="178"/>
      <c r="AM74" s="178"/>
      <c r="AN74" s="178"/>
    </row>
    <row r="75" spans="1:40" s="176" customFormat="1" ht="13.5" hidden="1">
      <c r="A75" s="205" t="s">
        <v>133</v>
      </c>
      <c r="B75" s="206"/>
      <c r="C75" s="206"/>
      <c r="D75" s="207"/>
      <c r="E75" s="199">
        <f aca="true" t="shared" si="184" ref="E75:J75">SUM(E70:E74)</f>
        <v>17000</v>
      </c>
      <c r="F75" s="199">
        <f t="shared" si="184"/>
        <v>0</v>
      </c>
      <c r="G75" s="199">
        <f t="shared" si="184"/>
        <v>480</v>
      </c>
      <c r="H75" s="199">
        <f t="shared" si="184"/>
        <v>0</v>
      </c>
      <c r="I75" s="199">
        <f t="shared" si="184"/>
        <v>600</v>
      </c>
      <c r="J75" s="199">
        <f t="shared" si="184"/>
        <v>1056</v>
      </c>
      <c r="K75" s="199">
        <f>SUM(K70:K73)</f>
        <v>0</v>
      </c>
      <c r="L75" s="199">
        <f>SUM(L70:L73)</f>
        <v>1200</v>
      </c>
      <c r="M75" s="219">
        <f aca="true" t="shared" si="185" ref="M75:Z75">SUM(M70:M74)</f>
        <v>20336</v>
      </c>
      <c r="N75" s="224"/>
      <c r="O75" s="223">
        <f t="shared" si="185"/>
        <v>3561.2799999999997</v>
      </c>
      <c r="P75" s="223">
        <f t="shared" si="185"/>
        <v>1891.9399999999998</v>
      </c>
      <c r="Q75" s="223">
        <f t="shared" si="185"/>
        <v>111.3</v>
      </c>
      <c r="R75" s="223">
        <f t="shared" si="185"/>
        <v>62.31999999999999</v>
      </c>
      <c r="S75" s="223">
        <f t="shared" si="185"/>
        <v>0</v>
      </c>
      <c r="T75" s="223">
        <f t="shared" si="185"/>
        <v>2673</v>
      </c>
      <c r="U75" s="223">
        <f t="shared" si="185"/>
        <v>8496.64</v>
      </c>
      <c r="V75" s="223">
        <f t="shared" si="185"/>
        <v>6372.4800000000005</v>
      </c>
      <c r="W75" s="223">
        <f t="shared" si="185"/>
        <v>5400</v>
      </c>
      <c r="X75" s="223">
        <f t="shared" si="185"/>
        <v>32835.84</v>
      </c>
      <c r="Y75" s="223">
        <f t="shared" si="185"/>
        <v>122000</v>
      </c>
      <c r="Z75" s="223">
        <f t="shared" si="185"/>
        <v>539299.2</v>
      </c>
      <c r="AA75" s="238">
        <f>(F75+W75)*12+Y75</f>
        <v>186800</v>
      </c>
      <c r="AB75" s="238"/>
      <c r="AC75" s="238"/>
      <c r="AD75" s="238"/>
      <c r="AE75" s="238"/>
      <c r="AF75" s="238"/>
      <c r="AG75" s="238"/>
      <c r="AH75" s="238"/>
      <c r="AI75" s="238">
        <f>SUM(AI70:AI73)</f>
        <v>0</v>
      </c>
      <c r="AJ75" s="238"/>
      <c r="AK75" s="246"/>
      <c r="AL75" s="178">
        <f>SUM(W70:W74)*12+Y75</f>
        <v>186800</v>
      </c>
      <c r="AM75" s="178"/>
      <c r="AN75" s="178"/>
    </row>
    <row r="76" spans="1:40" s="176" customFormat="1" ht="13.5" hidden="1">
      <c r="A76" s="205" t="s">
        <v>134</v>
      </c>
      <c r="B76" s="206"/>
      <c r="C76" s="206"/>
      <c r="D76" s="207"/>
      <c r="E76" s="199">
        <f aca="true" t="shared" si="186" ref="E76:M76">E69+E39+E56+E75+E63+E32+E26+E9+E18</f>
        <v>260898</v>
      </c>
      <c r="F76" s="199">
        <f t="shared" si="186"/>
        <v>0</v>
      </c>
      <c r="G76" s="199">
        <f t="shared" si="186"/>
        <v>7490</v>
      </c>
      <c r="H76" s="199">
        <f t="shared" si="186"/>
        <v>3170</v>
      </c>
      <c r="I76" s="199">
        <f t="shared" si="186"/>
        <v>6700</v>
      </c>
      <c r="J76" s="199">
        <f t="shared" si="186"/>
        <v>15048</v>
      </c>
      <c r="K76" s="199">
        <f t="shared" si="186"/>
        <v>0</v>
      </c>
      <c r="L76" s="199">
        <f t="shared" si="186"/>
        <v>15900</v>
      </c>
      <c r="M76" s="199">
        <f t="shared" si="186"/>
        <v>309206</v>
      </c>
      <c r="N76" s="224"/>
      <c r="O76" s="223">
        <f aca="true" t="shared" si="187" ref="O76:Z76">O69+O39+O56+O75+O63+O32+O26+O9+O18</f>
        <v>59897.28999999999</v>
      </c>
      <c r="P76" s="223">
        <f t="shared" si="187"/>
        <v>31820.58</v>
      </c>
      <c r="Q76" s="223">
        <f t="shared" si="187"/>
        <v>1871.96</v>
      </c>
      <c r="R76" s="223">
        <f t="shared" si="187"/>
        <v>1048.2</v>
      </c>
      <c r="S76" s="223">
        <f t="shared" si="187"/>
        <v>0</v>
      </c>
      <c r="T76" s="223">
        <f t="shared" si="187"/>
        <v>44735</v>
      </c>
      <c r="U76" s="223">
        <f t="shared" si="187"/>
        <v>138087.6416</v>
      </c>
      <c r="V76" s="223">
        <f t="shared" si="187"/>
        <v>103565.7312</v>
      </c>
      <c r="W76" s="223">
        <f t="shared" si="187"/>
        <v>353858.02</v>
      </c>
      <c r="X76" s="223">
        <f t="shared" si="187"/>
        <v>501779.03</v>
      </c>
      <c r="Y76" s="223">
        <f t="shared" si="187"/>
        <v>2308990.06</v>
      </c>
      <c r="Z76" s="223">
        <f t="shared" si="187"/>
        <v>8774498.8728</v>
      </c>
      <c r="AA76" s="238"/>
      <c r="AB76" s="238"/>
      <c r="AC76" s="238"/>
      <c r="AD76" s="238"/>
      <c r="AE76" s="238"/>
      <c r="AF76" s="238"/>
      <c r="AG76" s="238"/>
      <c r="AH76" s="238"/>
      <c r="AI76" s="238"/>
      <c r="AJ76" s="238"/>
      <c r="AK76" s="246"/>
      <c r="AL76" s="178"/>
      <c r="AM76" s="178"/>
      <c r="AN76" s="178"/>
    </row>
    <row r="77" spans="1:40" s="176" customFormat="1" ht="13.5" hidden="1">
      <c r="A77" s="186">
        <v>1</v>
      </c>
      <c r="B77" s="186" t="s">
        <v>99</v>
      </c>
      <c r="C77" s="186" t="s">
        <v>135</v>
      </c>
      <c r="D77" s="200" t="s">
        <v>44</v>
      </c>
      <c r="E77" s="195">
        <v>5500</v>
      </c>
      <c r="F77" s="195">
        <v>480</v>
      </c>
      <c r="G77" s="195">
        <v>130</v>
      </c>
      <c r="H77" s="195"/>
      <c r="I77" s="195"/>
      <c r="J77" s="216">
        <v>264</v>
      </c>
      <c r="K77" s="216"/>
      <c r="L77" s="216"/>
      <c r="M77" s="218">
        <f aca="true" t="shared" si="188" ref="M77:M84">SUM(E77:L77)</f>
        <v>6374</v>
      </c>
      <c r="N77" s="216">
        <f aca="true" t="shared" si="189" ref="N77:N84">M77-J77</f>
        <v>6110</v>
      </c>
      <c r="O77" s="251">
        <f aca="true" t="shared" si="190" ref="O77:O84">ROUND(IF((N77)&gt;3453*105%,(N77),3453*105%)*16%,2)</f>
        <v>977.6</v>
      </c>
      <c r="P77" s="251">
        <f aca="true" t="shared" si="191" ref="P77:P84">ROUND(IF(N77&gt;3453*105%,N77,3453*105%)*8.5%,2)</f>
        <v>519.35</v>
      </c>
      <c r="Q77" s="251">
        <f aca="true" t="shared" si="192" ref="Q77:Q84">ROUND(IF(N77&gt;3453*105%,N77,3453*105%)*0.5%,2)</f>
        <v>30.55</v>
      </c>
      <c r="R77" s="251">
        <f aca="true" t="shared" si="193" ref="R77:R84">ROUND(IF(N77&gt;3453*105%,N77,3453*105%)*0.32%,2)</f>
        <v>19.55</v>
      </c>
      <c r="S77" s="251"/>
      <c r="T77" s="252">
        <f aca="true" t="shared" si="194" ref="T77:T84">CEILING(N77*12%,1)</f>
        <v>734</v>
      </c>
      <c r="U77" s="253">
        <f aca="true" t="shared" si="195" ref="U77:U84">M77*2%</f>
        <v>127.48</v>
      </c>
      <c r="V77" s="253"/>
      <c r="W77" s="254">
        <v>1300</v>
      </c>
      <c r="X77" s="253">
        <f aca="true" t="shared" si="196" ref="X77:X84">SUM(M77:U77)+W77-N77</f>
        <v>10082.529999999999</v>
      </c>
      <c r="Y77" s="254">
        <v>37000</v>
      </c>
      <c r="Z77" s="255">
        <f aca="true" t="shared" si="197" ref="Z77:Z84">X77*12+W77*12+Y77+300*7</f>
        <v>175690.36</v>
      </c>
      <c r="AA77" s="232">
        <f aca="true" t="shared" si="198" ref="AA77:AA84">ROUND(N77*8%,2)</f>
        <v>488.8</v>
      </c>
      <c r="AB77" s="232">
        <f aca="true" t="shared" si="199" ref="AB77:AB84">ROUND(N77*2%,2)</f>
        <v>122.2</v>
      </c>
      <c r="AC77" s="232">
        <f aca="true" t="shared" si="200" ref="AC77:AC84">ROUND(N77*0.5%,2)</f>
        <v>30.55</v>
      </c>
      <c r="AD77" s="232">
        <f aca="true" t="shared" si="201" ref="AD77:AD84">SUM(AA77:AC77)</f>
        <v>641.55</v>
      </c>
      <c r="AE77" s="232">
        <f aca="true" t="shared" si="202" ref="AE77:AE84">ROUND(IF(N77&gt;3453*105%,N77,3453*105%)*8%,2)</f>
        <v>488.8</v>
      </c>
      <c r="AF77" s="232">
        <f aca="true" t="shared" si="203" ref="AF77:AF84">ROUND(IF(N77&gt;3453*105%,N77,3453*105%)*2%,2)</f>
        <v>122.2</v>
      </c>
      <c r="AG77" s="232">
        <f aca="true" t="shared" si="204" ref="AG77:AG84">ROUND(IF(N77&gt;3453*105%,N77,3453*105%)*0.5%,2)</f>
        <v>30.55</v>
      </c>
      <c r="AH77" s="232">
        <f aca="true" t="shared" si="205" ref="AH77:AH84">SUM(AE77:AG77)</f>
        <v>641.55</v>
      </c>
      <c r="AI77" s="232">
        <f aca="true" t="shared" si="206" ref="AI77:AI84">AH77-AD77</f>
        <v>0</v>
      </c>
      <c r="AJ77" s="232"/>
      <c r="AK77" s="245"/>
      <c r="AL77" s="178"/>
      <c r="AM77" s="178"/>
      <c r="AN77" s="178"/>
    </row>
    <row r="78" spans="1:40" s="176" customFormat="1" ht="13.5" hidden="1">
      <c r="A78" s="186">
        <v>2</v>
      </c>
      <c r="B78" s="186" t="s">
        <v>53</v>
      </c>
      <c r="C78" s="186" t="s">
        <v>136</v>
      </c>
      <c r="D78" s="186" t="s">
        <v>46</v>
      </c>
      <c r="E78" s="195">
        <v>5500</v>
      </c>
      <c r="F78" s="195">
        <v>480</v>
      </c>
      <c r="G78" s="195">
        <v>360</v>
      </c>
      <c r="H78" s="195"/>
      <c r="I78" s="195"/>
      <c r="J78" s="216">
        <v>264</v>
      </c>
      <c r="K78" s="216"/>
      <c r="L78" s="216"/>
      <c r="M78" s="218">
        <f t="shared" si="188"/>
        <v>6604</v>
      </c>
      <c r="N78" s="216">
        <f t="shared" si="189"/>
        <v>6340</v>
      </c>
      <c r="O78" s="251">
        <f t="shared" si="190"/>
        <v>1014.4</v>
      </c>
      <c r="P78" s="251">
        <f t="shared" si="191"/>
        <v>538.9</v>
      </c>
      <c r="Q78" s="251">
        <f t="shared" si="192"/>
        <v>31.7</v>
      </c>
      <c r="R78" s="251">
        <f t="shared" si="193"/>
        <v>20.29</v>
      </c>
      <c r="S78" s="251"/>
      <c r="T78" s="252">
        <f t="shared" si="194"/>
        <v>761</v>
      </c>
      <c r="U78" s="253">
        <f t="shared" si="195"/>
        <v>132.08</v>
      </c>
      <c r="V78" s="253"/>
      <c r="W78" s="254">
        <v>1300</v>
      </c>
      <c r="X78" s="253">
        <f t="shared" si="196"/>
        <v>10402.370000000003</v>
      </c>
      <c r="Y78" s="254">
        <v>37000</v>
      </c>
      <c r="Z78" s="255">
        <f t="shared" si="197"/>
        <v>179528.44000000003</v>
      </c>
      <c r="AA78" s="232">
        <f t="shared" si="198"/>
        <v>507.2</v>
      </c>
      <c r="AB78" s="232">
        <f t="shared" si="199"/>
        <v>126.8</v>
      </c>
      <c r="AC78" s="232">
        <f t="shared" si="200"/>
        <v>31.7</v>
      </c>
      <c r="AD78" s="232">
        <f t="shared" si="201"/>
        <v>665.7</v>
      </c>
      <c r="AE78" s="232">
        <f t="shared" si="202"/>
        <v>507.2</v>
      </c>
      <c r="AF78" s="232">
        <f t="shared" si="203"/>
        <v>126.8</v>
      </c>
      <c r="AG78" s="232">
        <f t="shared" si="204"/>
        <v>31.7</v>
      </c>
      <c r="AH78" s="232">
        <f t="shared" si="205"/>
        <v>665.7</v>
      </c>
      <c r="AI78" s="232">
        <f t="shared" si="206"/>
        <v>0</v>
      </c>
      <c r="AJ78" s="232"/>
      <c r="AK78" s="245"/>
      <c r="AL78" s="178"/>
      <c r="AM78" s="178"/>
      <c r="AN78" s="178"/>
    </row>
    <row r="79" spans="1:40" s="176" customFormat="1" ht="13.5" hidden="1">
      <c r="A79" s="186">
        <v>3</v>
      </c>
      <c r="B79" s="186"/>
      <c r="C79" s="186"/>
      <c r="D79" s="186" t="s">
        <v>46</v>
      </c>
      <c r="E79" s="195">
        <v>4500</v>
      </c>
      <c r="F79" s="195">
        <v>450</v>
      </c>
      <c r="G79" s="195">
        <v>50</v>
      </c>
      <c r="H79" s="195"/>
      <c r="I79" s="195"/>
      <c r="J79" s="216">
        <v>264</v>
      </c>
      <c r="K79" s="216"/>
      <c r="L79" s="216"/>
      <c r="M79" s="218">
        <f t="shared" si="188"/>
        <v>5264</v>
      </c>
      <c r="N79" s="216">
        <f t="shared" si="189"/>
        <v>5000</v>
      </c>
      <c r="O79" s="251">
        <f t="shared" si="190"/>
        <v>800</v>
      </c>
      <c r="P79" s="251">
        <f t="shared" si="191"/>
        <v>425</v>
      </c>
      <c r="Q79" s="251">
        <f t="shared" si="192"/>
        <v>25</v>
      </c>
      <c r="R79" s="251">
        <f t="shared" si="193"/>
        <v>16</v>
      </c>
      <c r="S79" s="251"/>
      <c r="T79" s="252">
        <f t="shared" si="194"/>
        <v>600</v>
      </c>
      <c r="U79" s="253">
        <f t="shared" si="195"/>
        <v>105.28</v>
      </c>
      <c r="V79" s="253"/>
      <c r="W79" s="254">
        <v>1200</v>
      </c>
      <c r="X79" s="253">
        <f t="shared" si="196"/>
        <v>8435.28</v>
      </c>
      <c r="Y79" s="254">
        <v>34500</v>
      </c>
      <c r="Z79" s="255">
        <f t="shared" si="197"/>
        <v>152223.36000000002</v>
      </c>
      <c r="AA79" s="232">
        <f t="shared" si="198"/>
        <v>400</v>
      </c>
      <c r="AB79" s="232">
        <f t="shared" si="199"/>
        <v>100</v>
      </c>
      <c r="AC79" s="232">
        <f t="shared" si="200"/>
        <v>25</v>
      </c>
      <c r="AD79" s="232">
        <f t="shared" si="201"/>
        <v>525</v>
      </c>
      <c r="AE79" s="232">
        <f t="shared" si="202"/>
        <v>400</v>
      </c>
      <c r="AF79" s="232">
        <f t="shared" si="203"/>
        <v>100</v>
      </c>
      <c r="AG79" s="232">
        <f t="shared" si="204"/>
        <v>25</v>
      </c>
      <c r="AH79" s="232">
        <f t="shared" si="205"/>
        <v>525</v>
      </c>
      <c r="AI79" s="232">
        <f t="shared" si="206"/>
        <v>0</v>
      </c>
      <c r="AJ79" s="232"/>
      <c r="AK79" s="245"/>
      <c r="AL79" s="178">
        <f>_xlfn.SUMIFS(E:E,AK:AK,"中层",AK:AK,"预中层")</f>
        <v>0</v>
      </c>
      <c r="AM79" s="178"/>
      <c r="AN79" s="178"/>
    </row>
    <row r="80" spans="1:40" s="176" customFormat="1" ht="13.5" hidden="1">
      <c r="A80" s="186">
        <v>4</v>
      </c>
      <c r="B80" s="186"/>
      <c r="C80" s="186"/>
      <c r="D80" s="186" t="s">
        <v>46</v>
      </c>
      <c r="E80" s="195">
        <v>4500</v>
      </c>
      <c r="F80" s="195">
        <v>450</v>
      </c>
      <c r="G80" s="195">
        <v>50</v>
      </c>
      <c r="H80" s="195"/>
      <c r="I80" s="195"/>
      <c r="J80" s="216">
        <v>264</v>
      </c>
      <c r="K80" s="216"/>
      <c r="L80" s="216"/>
      <c r="M80" s="218">
        <f t="shared" si="188"/>
        <v>5264</v>
      </c>
      <c r="N80" s="216">
        <f t="shared" si="189"/>
        <v>5000</v>
      </c>
      <c r="O80" s="251">
        <f t="shared" si="190"/>
        <v>800</v>
      </c>
      <c r="P80" s="251">
        <f t="shared" si="191"/>
        <v>425</v>
      </c>
      <c r="Q80" s="251">
        <f t="shared" si="192"/>
        <v>25</v>
      </c>
      <c r="R80" s="251">
        <f t="shared" si="193"/>
        <v>16</v>
      </c>
      <c r="S80" s="251"/>
      <c r="T80" s="252">
        <f t="shared" si="194"/>
        <v>600</v>
      </c>
      <c r="U80" s="253">
        <f t="shared" si="195"/>
        <v>105.28</v>
      </c>
      <c r="V80" s="253"/>
      <c r="W80" s="254">
        <v>1200</v>
      </c>
      <c r="X80" s="253">
        <f t="shared" si="196"/>
        <v>8435.28</v>
      </c>
      <c r="Y80" s="254">
        <v>34500</v>
      </c>
      <c r="Z80" s="255">
        <f t="shared" si="197"/>
        <v>152223.36000000002</v>
      </c>
      <c r="AA80" s="232">
        <f t="shared" si="198"/>
        <v>400</v>
      </c>
      <c r="AB80" s="232">
        <f t="shared" si="199"/>
        <v>100</v>
      </c>
      <c r="AC80" s="232">
        <f t="shared" si="200"/>
        <v>25</v>
      </c>
      <c r="AD80" s="232">
        <f t="shared" si="201"/>
        <v>525</v>
      </c>
      <c r="AE80" s="232">
        <f t="shared" si="202"/>
        <v>400</v>
      </c>
      <c r="AF80" s="232">
        <f t="shared" si="203"/>
        <v>100</v>
      </c>
      <c r="AG80" s="232">
        <f t="shared" si="204"/>
        <v>25</v>
      </c>
      <c r="AH80" s="232">
        <f t="shared" si="205"/>
        <v>525</v>
      </c>
      <c r="AI80" s="232">
        <f t="shared" si="206"/>
        <v>0</v>
      </c>
      <c r="AJ80" s="232"/>
      <c r="AK80" s="245"/>
      <c r="AL80" s="178"/>
      <c r="AM80" s="178"/>
      <c r="AN80" s="178"/>
    </row>
    <row r="81" spans="1:40" s="176" customFormat="1" ht="13.5" hidden="1">
      <c r="A81" s="186">
        <v>5</v>
      </c>
      <c r="B81" s="186" t="s">
        <v>53</v>
      </c>
      <c r="C81" s="186" t="s">
        <v>137</v>
      </c>
      <c r="D81" s="186" t="s">
        <v>57</v>
      </c>
      <c r="E81" s="195">
        <v>3200</v>
      </c>
      <c r="F81" s="201">
        <v>330</v>
      </c>
      <c r="G81" s="195">
        <v>90</v>
      </c>
      <c r="H81" s="195"/>
      <c r="I81" s="195"/>
      <c r="J81" s="216">
        <v>264</v>
      </c>
      <c r="K81" s="222"/>
      <c r="L81" s="216"/>
      <c r="M81" s="218">
        <f t="shared" si="188"/>
        <v>3884</v>
      </c>
      <c r="N81" s="216">
        <f t="shared" si="189"/>
        <v>3620</v>
      </c>
      <c r="O81" s="251">
        <f t="shared" si="190"/>
        <v>580.1</v>
      </c>
      <c r="P81" s="251">
        <f t="shared" si="191"/>
        <v>308.18</v>
      </c>
      <c r="Q81" s="251">
        <f t="shared" si="192"/>
        <v>18.13</v>
      </c>
      <c r="R81" s="251">
        <f t="shared" si="193"/>
        <v>11.6</v>
      </c>
      <c r="S81" s="251"/>
      <c r="T81" s="252">
        <f t="shared" si="194"/>
        <v>435</v>
      </c>
      <c r="U81" s="253">
        <f t="shared" si="195"/>
        <v>77.68</v>
      </c>
      <c r="V81" s="253"/>
      <c r="W81" s="254">
        <v>1100</v>
      </c>
      <c r="X81" s="253">
        <f t="shared" si="196"/>
        <v>6414.6900000000005</v>
      </c>
      <c r="Y81" s="254">
        <v>28500</v>
      </c>
      <c r="Z81" s="255">
        <f t="shared" si="197"/>
        <v>120776.28</v>
      </c>
      <c r="AA81" s="232">
        <f t="shared" si="198"/>
        <v>289.6</v>
      </c>
      <c r="AB81" s="232">
        <f t="shared" si="199"/>
        <v>72.4</v>
      </c>
      <c r="AC81" s="232">
        <f t="shared" si="200"/>
        <v>18.1</v>
      </c>
      <c r="AD81" s="232">
        <f t="shared" si="201"/>
        <v>380.1</v>
      </c>
      <c r="AE81" s="232">
        <f t="shared" si="202"/>
        <v>290.05</v>
      </c>
      <c r="AF81" s="232">
        <f t="shared" si="203"/>
        <v>72.51</v>
      </c>
      <c r="AG81" s="232">
        <f t="shared" si="204"/>
        <v>18.13</v>
      </c>
      <c r="AH81" s="232">
        <f t="shared" si="205"/>
        <v>380.69</v>
      </c>
      <c r="AI81" s="232">
        <f t="shared" si="206"/>
        <v>0.589999999999975</v>
      </c>
      <c r="AJ81" s="232"/>
      <c r="AK81" s="245"/>
      <c r="AL81" s="178"/>
      <c r="AM81" s="178"/>
      <c r="AN81" s="178"/>
    </row>
    <row r="82" spans="1:40" s="176" customFormat="1" ht="13.5" hidden="1">
      <c r="A82" s="186">
        <v>6</v>
      </c>
      <c r="B82" s="186" t="s">
        <v>99</v>
      </c>
      <c r="C82" s="186" t="s">
        <v>138</v>
      </c>
      <c r="D82" s="186" t="s">
        <v>58</v>
      </c>
      <c r="E82" s="195">
        <v>3000</v>
      </c>
      <c r="F82" s="201">
        <v>270</v>
      </c>
      <c r="G82" s="195">
        <v>20</v>
      </c>
      <c r="H82" s="195"/>
      <c r="I82" s="195"/>
      <c r="J82" s="216">
        <v>264</v>
      </c>
      <c r="K82" s="221"/>
      <c r="L82" s="216"/>
      <c r="M82" s="218">
        <f t="shared" si="188"/>
        <v>3554</v>
      </c>
      <c r="N82" s="216">
        <f t="shared" si="189"/>
        <v>3290</v>
      </c>
      <c r="O82" s="251">
        <f t="shared" si="190"/>
        <v>580.1</v>
      </c>
      <c r="P82" s="251">
        <f t="shared" si="191"/>
        <v>308.18</v>
      </c>
      <c r="Q82" s="251">
        <f t="shared" si="192"/>
        <v>18.13</v>
      </c>
      <c r="R82" s="251">
        <f t="shared" si="193"/>
        <v>11.6</v>
      </c>
      <c r="S82" s="251"/>
      <c r="T82" s="252">
        <f t="shared" si="194"/>
        <v>395</v>
      </c>
      <c r="U82" s="253">
        <f t="shared" si="195"/>
        <v>71.08</v>
      </c>
      <c r="V82" s="253"/>
      <c r="W82" s="254">
        <v>1000</v>
      </c>
      <c r="X82" s="253">
        <f t="shared" si="196"/>
        <v>5938.090000000002</v>
      </c>
      <c r="Y82" s="254">
        <v>21200</v>
      </c>
      <c r="Z82" s="255">
        <f t="shared" si="197"/>
        <v>106557.08000000002</v>
      </c>
      <c r="AA82" s="232">
        <f t="shared" si="198"/>
        <v>263.2</v>
      </c>
      <c r="AB82" s="232">
        <f t="shared" si="199"/>
        <v>65.8</v>
      </c>
      <c r="AC82" s="232">
        <f t="shared" si="200"/>
        <v>16.45</v>
      </c>
      <c r="AD82" s="232">
        <f t="shared" si="201"/>
        <v>345.45</v>
      </c>
      <c r="AE82" s="232">
        <f t="shared" si="202"/>
        <v>290.05</v>
      </c>
      <c r="AF82" s="232">
        <f t="shared" si="203"/>
        <v>72.51</v>
      </c>
      <c r="AG82" s="232">
        <f t="shared" si="204"/>
        <v>18.13</v>
      </c>
      <c r="AH82" s="232">
        <f t="shared" si="205"/>
        <v>380.69</v>
      </c>
      <c r="AI82" s="232">
        <f t="shared" si="206"/>
        <v>35.24000000000001</v>
      </c>
      <c r="AJ82" s="232"/>
      <c r="AK82" s="245"/>
      <c r="AL82" s="178"/>
      <c r="AM82" s="178"/>
      <c r="AN82" s="178"/>
    </row>
    <row r="83" spans="1:40" s="176" customFormat="1" ht="13.5" hidden="1">
      <c r="A83" s="186">
        <v>7</v>
      </c>
      <c r="B83" s="186" t="s">
        <v>53</v>
      </c>
      <c r="C83" s="186" t="s">
        <v>139</v>
      </c>
      <c r="D83" s="186" t="s">
        <v>58</v>
      </c>
      <c r="E83" s="195">
        <v>3000</v>
      </c>
      <c r="F83" s="201">
        <v>270</v>
      </c>
      <c r="G83" s="195">
        <v>180</v>
      </c>
      <c r="H83" s="195"/>
      <c r="I83" s="195"/>
      <c r="J83" s="216">
        <v>264</v>
      </c>
      <c r="K83" s="222"/>
      <c r="L83" s="216"/>
      <c r="M83" s="218">
        <f t="shared" si="188"/>
        <v>3714</v>
      </c>
      <c r="N83" s="216">
        <f t="shared" si="189"/>
        <v>3450</v>
      </c>
      <c r="O83" s="251">
        <f t="shared" si="190"/>
        <v>580.1</v>
      </c>
      <c r="P83" s="251">
        <f t="shared" si="191"/>
        <v>308.18</v>
      </c>
      <c r="Q83" s="251">
        <f t="shared" si="192"/>
        <v>18.13</v>
      </c>
      <c r="R83" s="251">
        <f t="shared" si="193"/>
        <v>11.6</v>
      </c>
      <c r="S83" s="251"/>
      <c r="T83" s="252">
        <f t="shared" si="194"/>
        <v>414</v>
      </c>
      <c r="U83" s="253">
        <f t="shared" si="195"/>
        <v>74.28</v>
      </c>
      <c r="V83" s="253"/>
      <c r="W83" s="254">
        <v>1000</v>
      </c>
      <c r="X83" s="253">
        <f t="shared" si="196"/>
        <v>6120.290000000003</v>
      </c>
      <c r="Y83" s="254">
        <v>21200</v>
      </c>
      <c r="Z83" s="255">
        <f t="shared" si="197"/>
        <v>108743.48000000004</v>
      </c>
      <c r="AA83" s="232">
        <f t="shared" si="198"/>
        <v>276</v>
      </c>
      <c r="AB83" s="232">
        <f t="shared" si="199"/>
        <v>69</v>
      </c>
      <c r="AC83" s="232">
        <f t="shared" si="200"/>
        <v>17.25</v>
      </c>
      <c r="AD83" s="232">
        <f t="shared" si="201"/>
        <v>362.25</v>
      </c>
      <c r="AE83" s="232">
        <f t="shared" si="202"/>
        <v>290.05</v>
      </c>
      <c r="AF83" s="232">
        <f t="shared" si="203"/>
        <v>72.51</v>
      </c>
      <c r="AG83" s="232">
        <f t="shared" si="204"/>
        <v>18.13</v>
      </c>
      <c r="AH83" s="232">
        <f t="shared" si="205"/>
        <v>380.69</v>
      </c>
      <c r="AI83" s="232">
        <f t="shared" si="206"/>
        <v>18.439999999999998</v>
      </c>
      <c r="AJ83" s="239"/>
      <c r="AK83" s="239"/>
      <c r="AL83" s="178"/>
      <c r="AM83" s="178"/>
      <c r="AN83" s="178"/>
    </row>
    <row r="84" spans="1:40" s="176" customFormat="1" ht="13.5" hidden="1">
      <c r="A84" s="186">
        <v>8</v>
      </c>
      <c r="B84" s="186" t="s">
        <v>99</v>
      </c>
      <c r="C84" s="186" t="s">
        <v>140</v>
      </c>
      <c r="D84" s="186" t="s">
        <v>58</v>
      </c>
      <c r="E84" s="195">
        <v>3000</v>
      </c>
      <c r="F84" s="201">
        <v>270</v>
      </c>
      <c r="G84" s="195">
        <v>170</v>
      </c>
      <c r="H84" s="195"/>
      <c r="I84" s="195"/>
      <c r="J84" s="216">
        <v>264</v>
      </c>
      <c r="K84" s="221"/>
      <c r="L84" s="216"/>
      <c r="M84" s="218">
        <f t="shared" si="188"/>
        <v>3704</v>
      </c>
      <c r="N84" s="216">
        <f t="shared" si="189"/>
        <v>3440</v>
      </c>
      <c r="O84" s="251">
        <f t="shared" si="190"/>
        <v>580.1</v>
      </c>
      <c r="P84" s="251">
        <f t="shared" si="191"/>
        <v>308.18</v>
      </c>
      <c r="Q84" s="251">
        <f t="shared" si="192"/>
        <v>18.13</v>
      </c>
      <c r="R84" s="251">
        <f t="shared" si="193"/>
        <v>11.6</v>
      </c>
      <c r="S84" s="251"/>
      <c r="T84" s="252">
        <f t="shared" si="194"/>
        <v>413</v>
      </c>
      <c r="U84" s="253">
        <f t="shared" si="195"/>
        <v>74.08</v>
      </c>
      <c r="V84" s="253"/>
      <c r="W84" s="254">
        <v>1000</v>
      </c>
      <c r="X84" s="253">
        <f t="shared" si="196"/>
        <v>6109.090000000002</v>
      </c>
      <c r="Y84" s="254">
        <v>21200</v>
      </c>
      <c r="Z84" s="255">
        <f t="shared" si="197"/>
        <v>108609.08000000002</v>
      </c>
      <c r="AA84" s="232">
        <f t="shared" si="198"/>
        <v>275.2</v>
      </c>
      <c r="AB84" s="232">
        <f t="shared" si="199"/>
        <v>68.8</v>
      </c>
      <c r="AC84" s="232">
        <f t="shared" si="200"/>
        <v>17.2</v>
      </c>
      <c r="AD84" s="232">
        <f t="shared" si="201"/>
        <v>361.2</v>
      </c>
      <c r="AE84" s="232">
        <f t="shared" si="202"/>
        <v>290.05</v>
      </c>
      <c r="AF84" s="232">
        <f t="shared" si="203"/>
        <v>72.51</v>
      </c>
      <c r="AG84" s="232">
        <f t="shared" si="204"/>
        <v>18.13</v>
      </c>
      <c r="AH84" s="232">
        <f t="shared" si="205"/>
        <v>380.69</v>
      </c>
      <c r="AI84" s="232">
        <f t="shared" si="206"/>
        <v>19.49000000000001</v>
      </c>
      <c r="AJ84" s="232"/>
      <c r="AK84" s="245"/>
      <c r="AL84" s="178"/>
      <c r="AM84" s="178"/>
      <c r="AN84" s="178"/>
    </row>
    <row r="85" spans="1:40" s="176" customFormat="1" ht="13.5" hidden="1">
      <c r="A85" s="186"/>
      <c r="B85" s="186"/>
      <c r="C85" s="212" t="s">
        <v>141</v>
      </c>
      <c r="D85" s="215"/>
      <c r="E85" s="195">
        <f aca="true" t="shared" si="207" ref="E85:M85">SUM(E77:E84)</f>
        <v>32200</v>
      </c>
      <c r="F85" s="195">
        <f t="shared" si="207"/>
        <v>3000</v>
      </c>
      <c r="G85" s="195">
        <f t="shared" si="207"/>
        <v>1050</v>
      </c>
      <c r="H85" s="195">
        <f t="shared" si="207"/>
        <v>0</v>
      </c>
      <c r="I85" s="195">
        <f t="shared" si="207"/>
        <v>0</v>
      </c>
      <c r="J85" s="195">
        <f t="shared" si="207"/>
        <v>2112</v>
      </c>
      <c r="K85" s="195">
        <f t="shared" si="207"/>
        <v>0</v>
      </c>
      <c r="L85" s="195">
        <f t="shared" si="207"/>
        <v>0</v>
      </c>
      <c r="M85" s="218">
        <f t="shared" si="207"/>
        <v>38362</v>
      </c>
      <c r="N85" s="216"/>
      <c r="O85" s="251">
        <f aca="true" t="shared" si="208" ref="O85:U85">SUM(O77:O84)</f>
        <v>5912.4000000000015</v>
      </c>
      <c r="P85" s="251">
        <f t="shared" si="208"/>
        <v>3140.9699999999993</v>
      </c>
      <c r="Q85" s="251">
        <f t="shared" si="208"/>
        <v>184.76999999999998</v>
      </c>
      <c r="R85" s="251">
        <f t="shared" si="208"/>
        <v>118.23999999999998</v>
      </c>
      <c r="S85" s="251">
        <f t="shared" si="208"/>
        <v>0</v>
      </c>
      <c r="T85" s="251">
        <f t="shared" si="208"/>
        <v>4352</v>
      </c>
      <c r="U85" s="251">
        <f t="shared" si="208"/>
        <v>767.24</v>
      </c>
      <c r="V85" s="251"/>
      <c r="W85" s="254">
        <f aca="true" t="shared" si="209" ref="W85:Z85">SUM(W77:W84)</f>
        <v>9100</v>
      </c>
      <c r="X85" s="253">
        <f t="shared" si="209"/>
        <v>61937.62000000001</v>
      </c>
      <c r="Y85" s="254">
        <f t="shared" si="209"/>
        <v>235100</v>
      </c>
      <c r="Z85" s="253">
        <f t="shared" si="209"/>
        <v>1104351.4400000002</v>
      </c>
      <c r="AA85" s="232"/>
      <c r="AB85" s="232"/>
      <c r="AC85" s="232"/>
      <c r="AD85" s="232"/>
      <c r="AE85" s="232"/>
      <c r="AF85" s="232"/>
      <c r="AG85" s="232"/>
      <c r="AH85" s="232"/>
      <c r="AI85" s="232">
        <f>SUM(AI77:AI84)</f>
        <v>73.75999999999999</v>
      </c>
      <c r="AJ85" s="232"/>
      <c r="AK85" s="245"/>
      <c r="AL85" s="178"/>
      <c r="AM85" s="178"/>
      <c r="AN85" s="178"/>
    </row>
    <row r="86" spans="1:40" s="176" customFormat="1" ht="13.5" hidden="1">
      <c r="A86" s="186">
        <v>1</v>
      </c>
      <c r="B86" s="186"/>
      <c r="C86" s="186" t="s">
        <v>142</v>
      </c>
      <c r="D86" s="186" t="s">
        <v>39</v>
      </c>
      <c r="E86" s="249">
        <v>5500</v>
      </c>
      <c r="F86" s="192">
        <v>480</v>
      </c>
      <c r="G86" s="192">
        <v>150</v>
      </c>
      <c r="H86" s="192"/>
      <c r="I86" s="192"/>
      <c r="J86" s="192">
        <v>264</v>
      </c>
      <c r="K86" s="195"/>
      <c r="L86" s="195"/>
      <c r="M86" s="218">
        <f aca="true" t="shared" si="210" ref="M86:M149">SUM(E86:L86)</f>
        <v>6394</v>
      </c>
      <c r="N86" s="216">
        <f aca="true" t="shared" si="211" ref="N86:N149">M86-J86</f>
        <v>6130</v>
      </c>
      <c r="O86" s="251">
        <f aca="true" t="shared" si="212" ref="O86:O149">ROUND(IF((N86)&gt;3453*105%,(N86),3453*105%)*16%,2)</f>
        <v>980.8</v>
      </c>
      <c r="P86" s="251">
        <f aca="true" t="shared" si="213" ref="P86:P149">ROUND(IF(N86&gt;3453*105%,N86,3453*105%)*8.5%,2)</f>
        <v>521.05</v>
      </c>
      <c r="Q86" s="251">
        <f aca="true" t="shared" si="214" ref="Q86:Q149">ROUND(IF(N86&gt;3453*105%,N86,3453*105%)*0.5%,2)</f>
        <v>30.65</v>
      </c>
      <c r="R86" s="251">
        <f aca="true" t="shared" si="215" ref="R86:R149">ROUND(IF(N86&gt;3453*105%,N86,3453*105%)*0.32%,2)</f>
        <v>19.62</v>
      </c>
      <c r="S86" s="251"/>
      <c r="T86" s="252">
        <f aca="true" t="shared" si="216" ref="T86:T98">CEILING(N86*12%,1)</f>
        <v>736</v>
      </c>
      <c r="U86" s="253">
        <f aca="true" t="shared" si="217" ref="U86:U149">M86*2%</f>
        <v>127.88000000000001</v>
      </c>
      <c r="V86" s="253"/>
      <c r="W86" s="254"/>
      <c r="X86" s="253">
        <f aca="true" t="shared" si="218" ref="X86:X149">SUM(M86:U86)+W86-N86</f>
        <v>8809.999999999998</v>
      </c>
      <c r="Y86" s="254">
        <v>52000</v>
      </c>
      <c r="Z86" s="255">
        <f aca="true" t="shared" si="219" ref="Z86:Z149">X86*12+W86*12+Y86+300*7</f>
        <v>159819.99999999997</v>
      </c>
      <c r="AA86" s="232">
        <f aca="true" t="shared" si="220" ref="AA86:AA149">ROUND(N86*8%,2)</f>
        <v>490.4</v>
      </c>
      <c r="AB86" s="232">
        <f aca="true" t="shared" si="221" ref="AB86:AB149">ROUND(N86*2%,2)</f>
        <v>122.6</v>
      </c>
      <c r="AC86" s="232">
        <f aca="true" t="shared" si="222" ref="AC86:AC149">ROUND(N86*0.5%,2)</f>
        <v>30.65</v>
      </c>
      <c r="AD86" s="232">
        <f aca="true" t="shared" si="223" ref="AD86:AD149">SUM(AA86:AC86)</f>
        <v>643.65</v>
      </c>
      <c r="AE86" s="232">
        <f aca="true" t="shared" si="224" ref="AE86:AE149">ROUND(IF(N86&gt;3453*105%,N86,3453*105%)*8%,2)</f>
        <v>490.4</v>
      </c>
      <c r="AF86" s="232">
        <f aca="true" t="shared" si="225" ref="AF86:AF149">ROUND(IF(N86&gt;3453*105%,N86,3453*105%)*2%,2)</f>
        <v>122.6</v>
      </c>
      <c r="AG86" s="232">
        <f aca="true" t="shared" si="226" ref="AG86:AG149">ROUND(IF(N86&gt;3453*105%,N86,3453*105%)*0.5%,2)</f>
        <v>30.65</v>
      </c>
      <c r="AH86" s="232">
        <f aca="true" t="shared" si="227" ref="AH86:AH149">SUM(AE86:AG86)</f>
        <v>643.65</v>
      </c>
      <c r="AI86" s="232">
        <f aca="true" t="shared" si="228" ref="AI86:AI149">AH86-AD86</f>
        <v>0</v>
      </c>
      <c r="AJ86" s="232"/>
      <c r="AK86" s="245"/>
      <c r="AL86" s="178"/>
      <c r="AM86" s="178"/>
      <c r="AN86" s="178"/>
    </row>
    <row r="87" spans="1:40" s="176" customFormat="1" ht="13.5" hidden="1">
      <c r="A87" s="186">
        <v>2</v>
      </c>
      <c r="B87" s="186"/>
      <c r="C87" s="186" t="s">
        <v>143</v>
      </c>
      <c r="D87" s="186" t="s">
        <v>144</v>
      </c>
      <c r="E87" s="249">
        <v>4500</v>
      </c>
      <c r="F87" s="195">
        <v>450</v>
      </c>
      <c r="G87" s="195">
        <v>70</v>
      </c>
      <c r="H87" s="195"/>
      <c r="I87" s="195"/>
      <c r="J87" s="195">
        <v>264</v>
      </c>
      <c r="K87" s="195"/>
      <c r="L87" s="195"/>
      <c r="M87" s="218">
        <f t="shared" si="210"/>
        <v>5284</v>
      </c>
      <c r="N87" s="216">
        <f t="shared" si="211"/>
        <v>5020</v>
      </c>
      <c r="O87" s="251">
        <f t="shared" si="212"/>
        <v>803.2</v>
      </c>
      <c r="P87" s="251">
        <f t="shared" si="213"/>
        <v>426.7</v>
      </c>
      <c r="Q87" s="251">
        <f t="shared" si="214"/>
        <v>25.1</v>
      </c>
      <c r="R87" s="251">
        <f t="shared" si="215"/>
        <v>16.06</v>
      </c>
      <c r="S87" s="251"/>
      <c r="T87" s="252">
        <f t="shared" si="216"/>
        <v>603</v>
      </c>
      <c r="U87" s="253">
        <f t="shared" si="217"/>
        <v>105.68</v>
      </c>
      <c r="V87" s="253"/>
      <c r="W87" s="254"/>
      <c r="X87" s="253">
        <f t="shared" si="218"/>
        <v>7263.740000000002</v>
      </c>
      <c r="Y87" s="254">
        <v>48000</v>
      </c>
      <c r="Z87" s="255">
        <f t="shared" si="219"/>
        <v>137264.88</v>
      </c>
      <c r="AA87" s="232">
        <f t="shared" si="220"/>
        <v>401.6</v>
      </c>
      <c r="AB87" s="232">
        <f t="shared" si="221"/>
        <v>100.4</v>
      </c>
      <c r="AC87" s="232">
        <f t="shared" si="222"/>
        <v>25.1</v>
      </c>
      <c r="AD87" s="232">
        <f t="shared" si="223"/>
        <v>527.1</v>
      </c>
      <c r="AE87" s="232">
        <f t="shared" si="224"/>
        <v>401.6</v>
      </c>
      <c r="AF87" s="232">
        <f t="shared" si="225"/>
        <v>100.4</v>
      </c>
      <c r="AG87" s="232">
        <f t="shared" si="226"/>
        <v>25.1</v>
      </c>
      <c r="AH87" s="232">
        <f t="shared" si="227"/>
        <v>527.1</v>
      </c>
      <c r="AI87" s="232">
        <f t="shared" si="228"/>
        <v>0</v>
      </c>
      <c r="AJ87" s="232"/>
      <c r="AK87" s="245"/>
      <c r="AL87" s="178"/>
      <c r="AM87" s="178"/>
      <c r="AN87" s="178"/>
    </row>
    <row r="88" spans="1:40" s="176" customFormat="1" ht="13.5" hidden="1">
      <c r="A88" s="186">
        <v>3</v>
      </c>
      <c r="B88" s="186"/>
      <c r="C88" s="186" t="s">
        <v>145</v>
      </c>
      <c r="D88" s="186" t="s">
        <v>144</v>
      </c>
      <c r="E88" s="249">
        <v>4500</v>
      </c>
      <c r="F88" s="195">
        <v>450</v>
      </c>
      <c r="G88" s="195">
        <v>60</v>
      </c>
      <c r="H88" s="195"/>
      <c r="I88" s="195"/>
      <c r="J88" s="195">
        <v>264</v>
      </c>
      <c r="K88" s="195"/>
      <c r="L88" s="195"/>
      <c r="M88" s="218">
        <f t="shared" si="210"/>
        <v>5274</v>
      </c>
      <c r="N88" s="216">
        <f t="shared" si="211"/>
        <v>5010</v>
      </c>
      <c r="O88" s="251">
        <f t="shared" si="212"/>
        <v>801.6</v>
      </c>
      <c r="P88" s="251">
        <f t="shared" si="213"/>
        <v>425.85</v>
      </c>
      <c r="Q88" s="251">
        <f t="shared" si="214"/>
        <v>25.05</v>
      </c>
      <c r="R88" s="251">
        <f t="shared" si="215"/>
        <v>16.03</v>
      </c>
      <c r="S88" s="251"/>
      <c r="T88" s="252">
        <f t="shared" si="216"/>
        <v>602</v>
      </c>
      <c r="U88" s="253">
        <f t="shared" si="217"/>
        <v>105.48</v>
      </c>
      <c r="V88" s="253"/>
      <c r="W88" s="254"/>
      <c r="X88" s="253">
        <f t="shared" si="218"/>
        <v>7250.01</v>
      </c>
      <c r="Y88" s="254">
        <v>48000</v>
      </c>
      <c r="Z88" s="255">
        <f t="shared" si="219"/>
        <v>137100.12</v>
      </c>
      <c r="AA88" s="232">
        <f t="shared" si="220"/>
        <v>400.8</v>
      </c>
      <c r="AB88" s="232">
        <f t="shared" si="221"/>
        <v>100.2</v>
      </c>
      <c r="AC88" s="232">
        <f t="shared" si="222"/>
        <v>25.05</v>
      </c>
      <c r="AD88" s="232">
        <f t="shared" si="223"/>
        <v>526.05</v>
      </c>
      <c r="AE88" s="232">
        <f t="shared" si="224"/>
        <v>400.8</v>
      </c>
      <c r="AF88" s="232">
        <f t="shared" si="225"/>
        <v>100.2</v>
      </c>
      <c r="AG88" s="232">
        <f t="shared" si="226"/>
        <v>25.05</v>
      </c>
      <c r="AH88" s="232">
        <f t="shared" si="227"/>
        <v>526.05</v>
      </c>
      <c r="AI88" s="232">
        <f t="shared" si="228"/>
        <v>0</v>
      </c>
      <c r="AJ88" s="232"/>
      <c r="AK88" s="245"/>
      <c r="AL88" s="178"/>
      <c r="AM88" s="178"/>
      <c r="AN88" s="178"/>
    </row>
    <row r="89" spans="1:40" s="176" customFormat="1" ht="13.5" hidden="1">
      <c r="A89" s="186">
        <v>4</v>
      </c>
      <c r="B89" s="186"/>
      <c r="C89" s="186"/>
      <c r="D89" s="186"/>
      <c r="E89" s="249">
        <v>3200</v>
      </c>
      <c r="F89" s="195">
        <v>330</v>
      </c>
      <c r="G89" s="195">
        <v>50</v>
      </c>
      <c r="H89" s="195"/>
      <c r="I89" s="195"/>
      <c r="J89" s="195">
        <v>264</v>
      </c>
      <c r="K89" s="195"/>
      <c r="L89" s="195"/>
      <c r="M89" s="218">
        <f t="shared" si="210"/>
        <v>3844</v>
      </c>
      <c r="N89" s="216">
        <f t="shared" si="211"/>
        <v>3580</v>
      </c>
      <c r="O89" s="251">
        <f t="shared" si="212"/>
        <v>580.1</v>
      </c>
      <c r="P89" s="251">
        <f t="shared" si="213"/>
        <v>308.18</v>
      </c>
      <c r="Q89" s="251">
        <f t="shared" si="214"/>
        <v>18.13</v>
      </c>
      <c r="R89" s="251">
        <f t="shared" si="215"/>
        <v>11.6</v>
      </c>
      <c r="S89" s="251"/>
      <c r="T89" s="252">
        <f t="shared" si="216"/>
        <v>430</v>
      </c>
      <c r="U89" s="253">
        <f t="shared" si="217"/>
        <v>76.88</v>
      </c>
      <c r="V89" s="253"/>
      <c r="W89" s="254">
        <v>800</v>
      </c>
      <c r="X89" s="253">
        <f t="shared" si="218"/>
        <v>6068.889999999999</v>
      </c>
      <c r="Y89" s="254">
        <v>18000</v>
      </c>
      <c r="Z89" s="255">
        <f t="shared" si="219"/>
        <v>102526.68</v>
      </c>
      <c r="AA89" s="232">
        <f t="shared" si="220"/>
        <v>286.4</v>
      </c>
      <c r="AB89" s="232">
        <f t="shared" si="221"/>
        <v>71.6</v>
      </c>
      <c r="AC89" s="232">
        <f t="shared" si="222"/>
        <v>17.9</v>
      </c>
      <c r="AD89" s="232">
        <f t="shared" si="223"/>
        <v>375.9</v>
      </c>
      <c r="AE89" s="232">
        <f t="shared" si="224"/>
        <v>290.05</v>
      </c>
      <c r="AF89" s="232">
        <f t="shared" si="225"/>
        <v>72.51</v>
      </c>
      <c r="AG89" s="232">
        <f t="shared" si="226"/>
        <v>18.13</v>
      </c>
      <c r="AH89" s="232">
        <f t="shared" si="227"/>
        <v>380.69</v>
      </c>
      <c r="AI89" s="232">
        <f t="shared" si="228"/>
        <v>4.7900000000000205</v>
      </c>
      <c r="AJ89" s="232"/>
      <c r="AK89" s="245"/>
      <c r="AL89" s="178"/>
      <c r="AM89" s="178"/>
      <c r="AN89" s="178"/>
    </row>
    <row r="90" spans="1:40" s="176" customFormat="1" ht="13.5" hidden="1">
      <c r="A90" s="186">
        <v>5</v>
      </c>
      <c r="B90" s="186"/>
      <c r="C90" s="186" t="s">
        <v>146</v>
      </c>
      <c r="D90" s="186" t="s">
        <v>147</v>
      </c>
      <c r="E90" s="249">
        <v>3000</v>
      </c>
      <c r="F90" s="195">
        <v>270</v>
      </c>
      <c r="G90" s="195">
        <v>50</v>
      </c>
      <c r="H90" s="195"/>
      <c r="I90" s="195"/>
      <c r="J90" s="195">
        <v>264</v>
      </c>
      <c r="K90" s="195"/>
      <c r="L90" s="195"/>
      <c r="M90" s="218">
        <f t="shared" si="210"/>
        <v>3584</v>
      </c>
      <c r="N90" s="216">
        <f t="shared" si="211"/>
        <v>3320</v>
      </c>
      <c r="O90" s="251">
        <f t="shared" si="212"/>
        <v>580.1</v>
      </c>
      <c r="P90" s="251">
        <f t="shared" si="213"/>
        <v>308.18</v>
      </c>
      <c r="Q90" s="251">
        <f t="shared" si="214"/>
        <v>18.13</v>
      </c>
      <c r="R90" s="251">
        <f t="shared" si="215"/>
        <v>11.6</v>
      </c>
      <c r="S90" s="251"/>
      <c r="T90" s="252">
        <f t="shared" si="216"/>
        <v>399</v>
      </c>
      <c r="U90" s="253">
        <f t="shared" si="217"/>
        <v>71.68</v>
      </c>
      <c r="V90" s="253"/>
      <c r="W90" s="254">
        <v>700</v>
      </c>
      <c r="X90" s="253">
        <f t="shared" si="218"/>
        <v>5672.690000000002</v>
      </c>
      <c r="Y90" s="254">
        <v>16000</v>
      </c>
      <c r="Z90" s="255">
        <f t="shared" si="219"/>
        <v>94572.28000000003</v>
      </c>
      <c r="AA90" s="232">
        <f t="shared" si="220"/>
        <v>265.6</v>
      </c>
      <c r="AB90" s="232">
        <f t="shared" si="221"/>
        <v>66.4</v>
      </c>
      <c r="AC90" s="232">
        <f t="shared" si="222"/>
        <v>16.6</v>
      </c>
      <c r="AD90" s="232">
        <f t="shared" si="223"/>
        <v>348.6</v>
      </c>
      <c r="AE90" s="232">
        <f t="shared" si="224"/>
        <v>290.05</v>
      </c>
      <c r="AF90" s="232">
        <f t="shared" si="225"/>
        <v>72.51</v>
      </c>
      <c r="AG90" s="232">
        <f t="shared" si="226"/>
        <v>18.13</v>
      </c>
      <c r="AH90" s="232">
        <f t="shared" si="227"/>
        <v>380.69</v>
      </c>
      <c r="AI90" s="232">
        <f t="shared" si="228"/>
        <v>32.089999999999975</v>
      </c>
      <c r="AJ90" s="232"/>
      <c r="AK90" s="245"/>
      <c r="AL90" s="178"/>
      <c r="AM90" s="178"/>
      <c r="AN90" s="178"/>
    </row>
    <row r="91" spans="1:40" s="176" customFormat="1" ht="13.5" hidden="1">
      <c r="A91" s="186">
        <v>6</v>
      </c>
      <c r="B91" s="186"/>
      <c r="C91" s="186" t="s">
        <v>148</v>
      </c>
      <c r="D91" s="200" t="s">
        <v>149</v>
      </c>
      <c r="E91" s="249">
        <v>2500</v>
      </c>
      <c r="F91" s="201">
        <v>240</v>
      </c>
      <c r="G91" s="201">
        <v>40</v>
      </c>
      <c r="H91" s="201"/>
      <c r="I91" s="201"/>
      <c r="J91" s="201">
        <v>264</v>
      </c>
      <c r="K91" s="195"/>
      <c r="L91" s="195"/>
      <c r="M91" s="218">
        <f t="shared" si="210"/>
        <v>3044</v>
      </c>
      <c r="N91" s="216">
        <f t="shared" si="211"/>
        <v>2780</v>
      </c>
      <c r="O91" s="251">
        <f t="shared" si="212"/>
        <v>580.1</v>
      </c>
      <c r="P91" s="251">
        <f t="shared" si="213"/>
        <v>308.18</v>
      </c>
      <c r="Q91" s="251">
        <f t="shared" si="214"/>
        <v>18.13</v>
      </c>
      <c r="R91" s="251">
        <f t="shared" si="215"/>
        <v>11.6</v>
      </c>
      <c r="S91" s="251"/>
      <c r="T91" s="252">
        <f t="shared" si="216"/>
        <v>334</v>
      </c>
      <c r="U91" s="253">
        <f t="shared" si="217"/>
        <v>60.88</v>
      </c>
      <c r="V91" s="253"/>
      <c r="W91" s="254">
        <v>600</v>
      </c>
      <c r="X91" s="253">
        <f t="shared" si="218"/>
        <v>4956.890000000001</v>
      </c>
      <c r="Y91" s="254">
        <v>14000</v>
      </c>
      <c r="Z91" s="255">
        <f t="shared" si="219"/>
        <v>82782.68000000002</v>
      </c>
      <c r="AA91" s="232">
        <f t="shared" si="220"/>
        <v>222.4</v>
      </c>
      <c r="AB91" s="232">
        <f t="shared" si="221"/>
        <v>55.6</v>
      </c>
      <c r="AC91" s="232">
        <f t="shared" si="222"/>
        <v>13.9</v>
      </c>
      <c r="AD91" s="232">
        <f t="shared" si="223"/>
        <v>291.9</v>
      </c>
      <c r="AE91" s="232">
        <f t="shared" si="224"/>
        <v>290.05</v>
      </c>
      <c r="AF91" s="232">
        <f t="shared" si="225"/>
        <v>72.51</v>
      </c>
      <c r="AG91" s="232">
        <f t="shared" si="226"/>
        <v>18.13</v>
      </c>
      <c r="AH91" s="232">
        <f t="shared" si="227"/>
        <v>380.69</v>
      </c>
      <c r="AI91" s="232">
        <f t="shared" si="228"/>
        <v>88.79000000000002</v>
      </c>
      <c r="AJ91" s="232"/>
      <c r="AK91" s="245"/>
      <c r="AL91" s="178"/>
      <c r="AM91" s="178"/>
      <c r="AN91" s="178"/>
    </row>
    <row r="92" spans="1:40" s="176" customFormat="1" ht="13.5" hidden="1">
      <c r="A92" s="186">
        <v>7</v>
      </c>
      <c r="B92" s="186"/>
      <c r="C92" s="193" t="s">
        <v>150</v>
      </c>
      <c r="D92" s="193" t="s">
        <v>58</v>
      </c>
      <c r="E92" s="249">
        <v>2500</v>
      </c>
      <c r="F92" s="250">
        <v>240</v>
      </c>
      <c r="G92" s="250">
        <v>50</v>
      </c>
      <c r="H92" s="250"/>
      <c r="I92" s="250"/>
      <c r="J92" s="250">
        <v>264</v>
      </c>
      <c r="K92" s="195"/>
      <c r="L92" s="195"/>
      <c r="M92" s="218">
        <f t="shared" si="210"/>
        <v>3054</v>
      </c>
      <c r="N92" s="216">
        <f t="shared" si="211"/>
        <v>2790</v>
      </c>
      <c r="O92" s="251">
        <f t="shared" si="212"/>
        <v>580.1</v>
      </c>
      <c r="P92" s="251">
        <f t="shared" si="213"/>
        <v>308.18</v>
      </c>
      <c r="Q92" s="251">
        <f t="shared" si="214"/>
        <v>18.13</v>
      </c>
      <c r="R92" s="251">
        <f t="shared" si="215"/>
        <v>11.6</v>
      </c>
      <c r="S92" s="251"/>
      <c r="T92" s="252">
        <f t="shared" si="216"/>
        <v>335</v>
      </c>
      <c r="U92" s="253">
        <f t="shared" si="217"/>
        <v>61.08</v>
      </c>
      <c r="V92" s="253"/>
      <c r="W92" s="254">
        <v>600</v>
      </c>
      <c r="X92" s="253">
        <f t="shared" si="218"/>
        <v>4968.090000000001</v>
      </c>
      <c r="Y92" s="254">
        <v>14000</v>
      </c>
      <c r="Z92" s="255">
        <f t="shared" si="219"/>
        <v>82917.08000000002</v>
      </c>
      <c r="AA92" s="232">
        <f t="shared" si="220"/>
        <v>223.2</v>
      </c>
      <c r="AB92" s="232">
        <f t="shared" si="221"/>
        <v>55.8</v>
      </c>
      <c r="AC92" s="232">
        <f t="shared" si="222"/>
        <v>13.95</v>
      </c>
      <c r="AD92" s="232">
        <f t="shared" si="223"/>
        <v>292.95</v>
      </c>
      <c r="AE92" s="232">
        <f t="shared" si="224"/>
        <v>290.05</v>
      </c>
      <c r="AF92" s="232">
        <f t="shared" si="225"/>
        <v>72.51</v>
      </c>
      <c r="AG92" s="232">
        <f t="shared" si="226"/>
        <v>18.13</v>
      </c>
      <c r="AH92" s="232">
        <f t="shared" si="227"/>
        <v>380.69</v>
      </c>
      <c r="AI92" s="232">
        <f t="shared" si="228"/>
        <v>87.74000000000001</v>
      </c>
      <c r="AJ92" s="232"/>
      <c r="AK92" s="245"/>
      <c r="AL92" s="178"/>
      <c r="AM92" s="178"/>
      <c r="AN92" s="178"/>
    </row>
    <row r="93" spans="1:40" s="176" customFormat="1" ht="13.5" hidden="1">
      <c r="A93" s="186">
        <v>8</v>
      </c>
      <c r="B93" s="186"/>
      <c r="C93" s="193" t="s">
        <v>151</v>
      </c>
      <c r="D93" s="193" t="s">
        <v>152</v>
      </c>
      <c r="E93" s="249">
        <v>3500</v>
      </c>
      <c r="F93" s="250">
        <v>330</v>
      </c>
      <c r="G93" s="250">
        <v>70</v>
      </c>
      <c r="H93" s="250"/>
      <c r="I93" s="250"/>
      <c r="J93" s="250">
        <v>264</v>
      </c>
      <c r="K93" s="195"/>
      <c r="L93" s="195"/>
      <c r="M93" s="218">
        <f t="shared" si="210"/>
        <v>4164</v>
      </c>
      <c r="N93" s="216">
        <f t="shared" si="211"/>
        <v>3900</v>
      </c>
      <c r="O93" s="251">
        <f t="shared" si="212"/>
        <v>624</v>
      </c>
      <c r="P93" s="251">
        <f t="shared" si="213"/>
        <v>331.5</v>
      </c>
      <c r="Q93" s="251">
        <f t="shared" si="214"/>
        <v>19.5</v>
      </c>
      <c r="R93" s="251">
        <f t="shared" si="215"/>
        <v>12.48</v>
      </c>
      <c r="S93" s="251"/>
      <c r="T93" s="252">
        <f t="shared" si="216"/>
        <v>468</v>
      </c>
      <c r="U93" s="253">
        <f t="shared" si="217"/>
        <v>83.28</v>
      </c>
      <c r="V93" s="253"/>
      <c r="W93" s="254">
        <v>900</v>
      </c>
      <c r="X93" s="253">
        <f t="shared" si="218"/>
        <v>6602.76</v>
      </c>
      <c r="Y93" s="254">
        <v>23000</v>
      </c>
      <c r="Z93" s="255">
        <f t="shared" si="219"/>
        <v>115133.12</v>
      </c>
      <c r="AA93" s="232">
        <f t="shared" si="220"/>
        <v>312</v>
      </c>
      <c r="AB93" s="232">
        <f t="shared" si="221"/>
        <v>78</v>
      </c>
      <c r="AC93" s="232">
        <f t="shared" si="222"/>
        <v>19.5</v>
      </c>
      <c r="AD93" s="232">
        <f t="shared" si="223"/>
        <v>409.5</v>
      </c>
      <c r="AE93" s="232">
        <f t="shared" si="224"/>
        <v>312</v>
      </c>
      <c r="AF93" s="232">
        <f t="shared" si="225"/>
        <v>78</v>
      </c>
      <c r="AG93" s="232">
        <f t="shared" si="226"/>
        <v>19.5</v>
      </c>
      <c r="AH93" s="232">
        <f t="shared" si="227"/>
        <v>409.5</v>
      </c>
      <c r="AI93" s="232">
        <f t="shared" si="228"/>
        <v>0</v>
      </c>
      <c r="AJ93" s="232"/>
      <c r="AK93" s="245"/>
      <c r="AL93" s="178"/>
      <c r="AM93" s="178"/>
      <c r="AN93" s="178"/>
    </row>
    <row r="94" spans="1:40" s="176" customFormat="1" ht="13.5" hidden="1">
      <c r="A94" s="186">
        <v>9</v>
      </c>
      <c r="B94" s="186"/>
      <c r="C94" s="193" t="s">
        <v>153</v>
      </c>
      <c r="D94" s="193" t="s">
        <v>154</v>
      </c>
      <c r="E94" s="249">
        <v>3200</v>
      </c>
      <c r="F94" s="250">
        <v>330</v>
      </c>
      <c r="G94" s="250">
        <v>150</v>
      </c>
      <c r="H94" s="250"/>
      <c r="I94" s="250"/>
      <c r="J94" s="250">
        <v>264</v>
      </c>
      <c r="K94" s="195"/>
      <c r="L94" s="195"/>
      <c r="M94" s="218">
        <f t="shared" si="210"/>
        <v>3944</v>
      </c>
      <c r="N94" s="216">
        <f t="shared" si="211"/>
        <v>3680</v>
      </c>
      <c r="O94" s="251">
        <f t="shared" si="212"/>
        <v>588.8</v>
      </c>
      <c r="P94" s="251">
        <f t="shared" si="213"/>
        <v>312.8</v>
      </c>
      <c r="Q94" s="251">
        <f t="shared" si="214"/>
        <v>18.4</v>
      </c>
      <c r="R94" s="251">
        <f t="shared" si="215"/>
        <v>11.78</v>
      </c>
      <c r="S94" s="251"/>
      <c r="T94" s="252">
        <f t="shared" si="216"/>
        <v>442</v>
      </c>
      <c r="U94" s="253">
        <f t="shared" si="217"/>
        <v>78.88</v>
      </c>
      <c r="V94" s="253"/>
      <c r="W94" s="254">
        <v>800</v>
      </c>
      <c r="X94" s="253">
        <f t="shared" si="218"/>
        <v>6196.659999999998</v>
      </c>
      <c r="Y94" s="254">
        <v>18000</v>
      </c>
      <c r="Z94" s="255">
        <f t="shared" si="219"/>
        <v>104059.91999999998</v>
      </c>
      <c r="AA94" s="232">
        <f t="shared" si="220"/>
        <v>294.4</v>
      </c>
      <c r="AB94" s="232">
        <f t="shared" si="221"/>
        <v>73.6</v>
      </c>
      <c r="AC94" s="232">
        <f t="shared" si="222"/>
        <v>18.4</v>
      </c>
      <c r="AD94" s="232">
        <f t="shared" si="223"/>
        <v>386.4</v>
      </c>
      <c r="AE94" s="232">
        <f t="shared" si="224"/>
        <v>294.4</v>
      </c>
      <c r="AF94" s="232">
        <f t="shared" si="225"/>
        <v>73.6</v>
      </c>
      <c r="AG94" s="232">
        <f t="shared" si="226"/>
        <v>18.4</v>
      </c>
      <c r="AH94" s="232">
        <f t="shared" si="227"/>
        <v>386.4</v>
      </c>
      <c r="AI94" s="232">
        <f t="shared" si="228"/>
        <v>0</v>
      </c>
      <c r="AJ94" s="232"/>
      <c r="AK94" s="245"/>
      <c r="AL94" s="178"/>
      <c r="AM94" s="178"/>
      <c r="AN94" s="178"/>
    </row>
    <row r="95" spans="1:40" s="176" customFormat="1" ht="13.5" hidden="1">
      <c r="A95" s="186">
        <v>10</v>
      </c>
      <c r="B95" s="186"/>
      <c r="C95" s="193" t="s">
        <v>155</v>
      </c>
      <c r="D95" s="193" t="s">
        <v>156</v>
      </c>
      <c r="E95" s="249">
        <v>1800</v>
      </c>
      <c r="F95" s="250">
        <v>410</v>
      </c>
      <c r="G95" s="250">
        <v>160</v>
      </c>
      <c r="H95" s="250"/>
      <c r="I95" s="250"/>
      <c r="J95" s="250">
        <v>264</v>
      </c>
      <c r="K95" s="195"/>
      <c r="L95" s="195"/>
      <c r="M95" s="218">
        <f t="shared" si="210"/>
        <v>2634</v>
      </c>
      <c r="N95" s="216">
        <f t="shared" si="211"/>
        <v>2370</v>
      </c>
      <c r="O95" s="251">
        <f t="shared" si="212"/>
        <v>580.1</v>
      </c>
      <c r="P95" s="251">
        <f t="shared" si="213"/>
        <v>308.18</v>
      </c>
      <c r="Q95" s="251">
        <f t="shared" si="214"/>
        <v>18.13</v>
      </c>
      <c r="R95" s="251">
        <f t="shared" si="215"/>
        <v>11.6</v>
      </c>
      <c r="S95" s="251"/>
      <c r="T95" s="252">
        <f t="shared" si="216"/>
        <v>285</v>
      </c>
      <c r="U95" s="253">
        <f t="shared" si="217"/>
        <v>52.68</v>
      </c>
      <c r="V95" s="253"/>
      <c r="W95" s="254">
        <v>500</v>
      </c>
      <c r="X95" s="253">
        <f t="shared" si="218"/>
        <v>4389.690000000001</v>
      </c>
      <c r="Y95" s="254">
        <v>12000</v>
      </c>
      <c r="Z95" s="255">
        <f t="shared" si="219"/>
        <v>72776.28000000001</v>
      </c>
      <c r="AA95" s="232">
        <f t="shared" si="220"/>
        <v>189.6</v>
      </c>
      <c r="AB95" s="232">
        <f t="shared" si="221"/>
        <v>47.4</v>
      </c>
      <c r="AC95" s="232">
        <f t="shared" si="222"/>
        <v>11.85</v>
      </c>
      <c r="AD95" s="232">
        <f t="shared" si="223"/>
        <v>248.85</v>
      </c>
      <c r="AE95" s="232">
        <f t="shared" si="224"/>
        <v>290.05</v>
      </c>
      <c r="AF95" s="232">
        <f t="shared" si="225"/>
        <v>72.51</v>
      </c>
      <c r="AG95" s="232">
        <f t="shared" si="226"/>
        <v>18.13</v>
      </c>
      <c r="AH95" s="232">
        <f t="shared" si="227"/>
        <v>380.69</v>
      </c>
      <c r="AI95" s="232">
        <f t="shared" si="228"/>
        <v>131.84</v>
      </c>
      <c r="AJ95" s="232"/>
      <c r="AK95" s="245"/>
      <c r="AL95" s="178"/>
      <c r="AM95" s="178"/>
      <c r="AN95" s="178"/>
    </row>
    <row r="96" spans="1:40" s="176" customFormat="1" ht="13.5" hidden="1">
      <c r="A96" s="186">
        <v>11</v>
      </c>
      <c r="B96" s="186"/>
      <c r="C96" s="193" t="s">
        <v>157</v>
      </c>
      <c r="D96" s="193" t="s">
        <v>156</v>
      </c>
      <c r="E96" s="249">
        <v>1900</v>
      </c>
      <c r="F96" s="250">
        <v>410</v>
      </c>
      <c r="G96" s="250">
        <v>190</v>
      </c>
      <c r="H96" s="250"/>
      <c r="I96" s="250"/>
      <c r="J96" s="250">
        <v>264</v>
      </c>
      <c r="K96" s="195"/>
      <c r="L96" s="195"/>
      <c r="M96" s="218">
        <f t="shared" si="210"/>
        <v>2764</v>
      </c>
      <c r="N96" s="216">
        <f t="shared" si="211"/>
        <v>2500</v>
      </c>
      <c r="O96" s="251">
        <f t="shared" si="212"/>
        <v>580.1</v>
      </c>
      <c r="P96" s="251">
        <f t="shared" si="213"/>
        <v>308.18</v>
      </c>
      <c r="Q96" s="251">
        <f t="shared" si="214"/>
        <v>18.13</v>
      </c>
      <c r="R96" s="251">
        <f t="shared" si="215"/>
        <v>11.6</v>
      </c>
      <c r="S96" s="251"/>
      <c r="T96" s="252">
        <f t="shared" si="216"/>
        <v>300</v>
      </c>
      <c r="U96" s="253">
        <f t="shared" si="217"/>
        <v>55.28</v>
      </c>
      <c r="V96" s="253"/>
      <c r="W96" s="254">
        <v>500</v>
      </c>
      <c r="X96" s="253">
        <f t="shared" si="218"/>
        <v>4537.290000000001</v>
      </c>
      <c r="Y96" s="254">
        <v>12000</v>
      </c>
      <c r="Z96" s="255">
        <f t="shared" si="219"/>
        <v>74547.48000000001</v>
      </c>
      <c r="AA96" s="232">
        <f t="shared" si="220"/>
        <v>200</v>
      </c>
      <c r="AB96" s="232">
        <f t="shared" si="221"/>
        <v>50</v>
      </c>
      <c r="AC96" s="232">
        <f t="shared" si="222"/>
        <v>12.5</v>
      </c>
      <c r="AD96" s="232">
        <f t="shared" si="223"/>
        <v>262.5</v>
      </c>
      <c r="AE96" s="232">
        <f t="shared" si="224"/>
        <v>290.05</v>
      </c>
      <c r="AF96" s="232">
        <f t="shared" si="225"/>
        <v>72.51</v>
      </c>
      <c r="AG96" s="232">
        <f t="shared" si="226"/>
        <v>18.13</v>
      </c>
      <c r="AH96" s="232">
        <f t="shared" si="227"/>
        <v>380.69</v>
      </c>
      <c r="AI96" s="232">
        <f t="shared" si="228"/>
        <v>118.19</v>
      </c>
      <c r="AJ96" s="232"/>
      <c r="AK96" s="245"/>
      <c r="AL96" s="178"/>
      <c r="AM96" s="178"/>
      <c r="AN96" s="178"/>
    </row>
    <row r="97" spans="1:40" s="176" customFormat="1" ht="13.5" hidden="1">
      <c r="A97" s="186">
        <v>12</v>
      </c>
      <c r="B97" s="186"/>
      <c r="C97" s="193" t="s">
        <v>158</v>
      </c>
      <c r="D97" s="193" t="s">
        <v>159</v>
      </c>
      <c r="E97" s="249">
        <v>1800</v>
      </c>
      <c r="F97" s="250">
        <v>410</v>
      </c>
      <c r="G97" s="250">
        <v>140</v>
      </c>
      <c r="H97" s="250"/>
      <c r="I97" s="250"/>
      <c r="J97" s="250">
        <v>264</v>
      </c>
      <c r="K97" s="195"/>
      <c r="L97" s="195"/>
      <c r="M97" s="218">
        <f t="shared" si="210"/>
        <v>2614</v>
      </c>
      <c r="N97" s="216">
        <f t="shared" si="211"/>
        <v>2350</v>
      </c>
      <c r="O97" s="251">
        <f t="shared" si="212"/>
        <v>580.1</v>
      </c>
      <c r="P97" s="251">
        <f t="shared" si="213"/>
        <v>308.18</v>
      </c>
      <c r="Q97" s="251">
        <f t="shared" si="214"/>
        <v>18.13</v>
      </c>
      <c r="R97" s="251">
        <f t="shared" si="215"/>
        <v>11.6</v>
      </c>
      <c r="S97" s="251"/>
      <c r="T97" s="252">
        <f t="shared" si="216"/>
        <v>282</v>
      </c>
      <c r="U97" s="253">
        <f t="shared" si="217"/>
        <v>52.28</v>
      </c>
      <c r="V97" s="253"/>
      <c r="W97" s="254">
        <v>500</v>
      </c>
      <c r="X97" s="253">
        <f t="shared" si="218"/>
        <v>4366.290000000001</v>
      </c>
      <c r="Y97" s="254">
        <v>12000</v>
      </c>
      <c r="Z97" s="255">
        <f t="shared" si="219"/>
        <v>72495.48000000001</v>
      </c>
      <c r="AA97" s="232">
        <f t="shared" si="220"/>
        <v>188</v>
      </c>
      <c r="AB97" s="232">
        <f t="shared" si="221"/>
        <v>47</v>
      </c>
      <c r="AC97" s="232">
        <f t="shared" si="222"/>
        <v>11.75</v>
      </c>
      <c r="AD97" s="232">
        <f t="shared" si="223"/>
        <v>246.75</v>
      </c>
      <c r="AE97" s="232">
        <f t="shared" si="224"/>
        <v>290.05</v>
      </c>
      <c r="AF97" s="232">
        <f t="shared" si="225"/>
        <v>72.51</v>
      </c>
      <c r="AG97" s="232">
        <f t="shared" si="226"/>
        <v>18.13</v>
      </c>
      <c r="AH97" s="232">
        <f t="shared" si="227"/>
        <v>380.69</v>
      </c>
      <c r="AI97" s="232">
        <f t="shared" si="228"/>
        <v>133.94</v>
      </c>
      <c r="AJ97" s="232"/>
      <c r="AK97" s="245"/>
      <c r="AL97" s="178"/>
      <c r="AM97" s="178"/>
      <c r="AN97" s="178"/>
    </row>
    <row r="98" spans="1:40" s="176" customFormat="1" ht="13.5" hidden="1">
      <c r="A98" s="186">
        <v>13</v>
      </c>
      <c r="B98" s="186"/>
      <c r="C98" s="193" t="s">
        <v>160</v>
      </c>
      <c r="D98" s="193" t="s">
        <v>159</v>
      </c>
      <c r="E98" s="249">
        <v>2300</v>
      </c>
      <c r="F98" s="250">
        <v>410</v>
      </c>
      <c r="G98" s="250">
        <v>280</v>
      </c>
      <c r="H98" s="250"/>
      <c r="I98" s="250"/>
      <c r="J98" s="250">
        <v>264</v>
      </c>
      <c r="K98" s="195"/>
      <c r="L98" s="195"/>
      <c r="M98" s="218">
        <f t="shared" si="210"/>
        <v>3254</v>
      </c>
      <c r="N98" s="216">
        <f t="shared" si="211"/>
        <v>2990</v>
      </c>
      <c r="O98" s="251">
        <f t="shared" si="212"/>
        <v>580.1</v>
      </c>
      <c r="P98" s="251">
        <f t="shared" si="213"/>
        <v>308.18</v>
      </c>
      <c r="Q98" s="251">
        <f t="shared" si="214"/>
        <v>18.13</v>
      </c>
      <c r="R98" s="251">
        <f t="shared" si="215"/>
        <v>11.6</v>
      </c>
      <c r="S98" s="251"/>
      <c r="T98" s="252">
        <f t="shared" si="216"/>
        <v>359</v>
      </c>
      <c r="U98" s="253">
        <f t="shared" si="217"/>
        <v>65.08</v>
      </c>
      <c r="V98" s="253"/>
      <c r="W98" s="254">
        <v>500</v>
      </c>
      <c r="X98" s="253">
        <f t="shared" si="218"/>
        <v>5096.090000000001</v>
      </c>
      <c r="Y98" s="254">
        <v>12000</v>
      </c>
      <c r="Z98" s="255">
        <f t="shared" si="219"/>
        <v>81253.08000000002</v>
      </c>
      <c r="AA98" s="232">
        <f t="shared" si="220"/>
        <v>239.2</v>
      </c>
      <c r="AB98" s="232">
        <f t="shared" si="221"/>
        <v>59.8</v>
      </c>
      <c r="AC98" s="232">
        <f t="shared" si="222"/>
        <v>14.95</v>
      </c>
      <c r="AD98" s="232">
        <f t="shared" si="223"/>
        <v>313.95</v>
      </c>
      <c r="AE98" s="232">
        <f t="shared" si="224"/>
        <v>290.05</v>
      </c>
      <c r="AF98" s="232">
        <f t="shared" si="225"/>
        <v>72.51</v>
      </c>
      <c r="AG98" s="232">
        <f t="shared" si="226"/>
        <v>18.13</v>
      </c>
      <c r="AH98" s="232">
        <f t="shared" si="227"/>
        <v>380.69</v>
      </c>
      <c r="AI98" s="232">
        <f t="shared" si="228"/>
        <v>66.74000000000001</v>
      </c>
      <c r="AJ98" s="232"/>
      <c r="AK98" s="245"/>
      <c r="AL98" s="178"/>
      <c r="AM98" s="178"/>
      <c r="AN98" s="178"/>
    </row>
    <row r="99" spans="1:40" s="176" customFormat="1" ht="13.5" hidden="1">
      <c r="A99" s="186">
        <v>14</v>
      </c>
      <c r="B99" s="186"/>
      <c r="C99" s="193" t="s">
        <v>161</v>
      </c>
      <c r="D99" s="193" t="s">
        <v>162</v>
      </c>
      <c r="E99" s="249">
        <v>2500</v>
      </c>
      <c r="F99" s="250">
        <v>0</v>
      </c>
      <c r="G99" s="250">
        <v>0</v>
      </c>
      <c r="H99" s="250"/>
      <c r="I99" s="250"/>
      <c r="J99" s="250">
        <v>264</v>
      </c>
      <c r="K99" s="195"/>
      <c r="L99" s="195"/>
      <c r="M99" s="218">
        <f t="shared" si="210"/>
        <v>2764</v>
      </c>
      <c r="N99" s="216">
        <f t="shared" si="211"/>
        <v>2500</v>
      </c>
      <c r="O99" s="251">
        <f t="shared" si="212"/>
        <v>580.1</v>
      </c>
      <c r="P99" s="251">
        <f t="shared" si="213"/>
        <v>308.18</v>
      </c>
      <c r="Q99" s="251">
        <f t="shared" si="214"/>
        <v>18.13</v>
      </c>
      <c r="R99" s="251">
        <f t="shared" si="215"/>
        <v>11.6</v>
      </c>
      <c r="S99" s="251"/>
      <c r="T99" s="252"/>
      <c r="U99" s="253">
        <f t="shared" si="217"/>
        <v>55.28</v>
      </c>
      <c r="V99" s="253"/>
      <c r="W99" s="254"/>
      <c r="X99" s="253">
        <f t="shared" si="218"/>
        <v>3737.290000000001</v>
      </c>
      <c r="Y99" s="254">
        <v>2500</v>
      </c>
      <c r="Z99" s="255">
        <f t="shared" si="219"/>
        <v>49447.48000000001</v>
      </c>
      <c r="AA99" s="232">
        <f t="shared" si="220"/>
        <v>200</v>
      </c>
      <c r="AB99" s="232">
        <f t="shared" si="221"/>
        <v>50</v>
      </c>
      <c r="AC99" s="232">
        <f t="shared" si="222"/>
        <v>12.5</v>
      </c>
      <c r="AD99" s="232">
        <f t="shared" si="223"/>
        <v>262.5</v>
      </c>
      <c r="AE99" s="232">
        <f t="shared" si="224"/>
        <v>290.05</v>
      </c>
      <c r="AF99" s="232">
        <f t="shared" si="225"/>
        <v>72.51</v>
      </c>
      <c r="AG99" s="232">
        <f t="shared" si="226"/>
        <v>18.13</v>
      </c>
      <c r="AH99" s="232">
        <f t="shared" si="227"/>
        <v>380.69</v>
      </c>
      <c r="AI99" s="232">
        <f t="shared" si="228"/>
        <v>118.19</v>
      </c>
      <c r="AJ99" s="232"/>
      <c r="AK99" s="245"/>
      <c r="AL99" s="178"/>
      <c r="AM99" s="178"/>
      <c r="AN99" s="178"/>
    </row>
    <row r="100" spans="1:40" s="176" customFormat="1" ht="13.5" hidden="1">
      <c r="A100" s="186">
        <v>15</v>
      </c>
      <c r="B100" s="186"/>
      <c r="C100" s="193" t="s">
        <v>163</v>
      </c>
      <c r="D100" s="193" t="s">
        <v>164</v>
      </c>
      <c r="E100" s="249">
        <v>1800</v>
      </c>
      <c r="F100" s="250">
        <v>410</v>
      </c>
      <c r="G100" s="250">
        <v>70</v>
      </c>
      <c r="H100" s="250"/>
      <c r="I100" s="250"/>
      <c r="J100" s="250">
        <v>264</v>
      </c>
      <c r="K100" s="195"/>
      <c r="L100" s="195"/>
      <c r="M100" s="218">
        <f t="shared" si="210"/>
        <v>2544</v>
      </c>
      <c r="N100" s="216">
        <f t="shared" si="211"/>
        <v>2280</v>
      </c>
      <c r="O100" s="251">
        <f t="shared" si="212"/>
        <v>580.1</v>
      </c>
      <c r="P100" s="251">
        <f t="shared" si="213"/>
        <v>308.18</v>
      </c>
      <c r="Q100" s="251">
        <f t="shared" si="214"/>
        <v>18.13</v>
      </c>
      <c r="R100" s="251">
        <f t="shared" si="215"/>
        <v>11.6</v>
      </c>
      <c r="S100" s="251"/>
      <c r="T100" s="252">
        <f aca="true" t="shared" si="229" ref="T100:T130">CEILING(N100*12%,1)</f>
        <v>274</v>
      </c>
      <c r="U100" s="253">
        <f t="shared" si="217"/>
        <v>50.88</v>
      </c>
      <c r="V100" s="253"/>
      <c r="W100" s="254">
        <v>500</v>
      </c>
      <c r="X100" s="253">
        <f t="shared" si="218"/>
        <v>4286.890000000001</v>
      </c>
      <c r="Y100" s="254">
        <v>12000</v>
      </c>
      <c r="Z100" s="255">
        <f t="shared" si="219"/>
        <v>71542.68000000002</v>
      </c>
      <c r="AA100" s="232">
        <f t="shared" si="220"/>
        <v>182.4</v>
      </c>
      <c r="AB100" s="232">
        <f t="shared" si="221"/>
        <v>45.6</v>
      </c>
      <c r="AC100" s="232">
        <f t="shared" si="222"/>
        <v>11.4</v>
      </c>
      <c r="AD100" s="232">
        <f t="shared" si="223"/>
        <v>239.4</v>
      </c>
      <c r="AE100" s="232">
        <f t="shared" si="224"/>
        <v>290.05</v>
      </c>
      <c r="AF100" s="232">
        <f t="shared" si="225"/>
        <v>72.51</v>
      </c>
      <c r="AG100" s="232">
        <f t="shared" si="226"/>
        <v>18.13</v>
      </c>
      <c r="AH100" s="232">
        <f t="shared" si="227"/>
        <v>380.69</v>
      </c>
      <c r="AI100" s="232">
        <f t="shared" si="228"/>
        <v>141.29</v>
      </c>
      <c r="AJ100" s="232"/>
      <c r="AK100" s="245"/>
      <c r="AL100" s="178"/>
      <c r="AM100" s="178"/>
      <c r="AN100" s="178"/>
    </row>
    <row r="101" spans="1:40" s="176" customFormat="1" ht="13.5" hidden="1">
      <c r="A101" s="186">
        <v>16</v>
      </c>
      <c r="B101" s="186"/>
      <c r="C101" s="193" t="s">
        <v>165</v>
      </c>
      <c r="D101" s="193" t="s">
        <v>164</v>
      </c>
      <c r="E101" s="249">
        <v>1680</v>
      </c>
      <c r="F101" s="250">
        <v>0</v>
      </c>
      <c r="G101" s="250">
        <v>0</v>
      </c>
      <c r="H101" s="250"/>
      <c r="I101" s="250"/>
      <c r="J101" s="250">
        <v>264</v>
      </c>
      <c r="K101" s="195"/>
      <c r="L101" s="195"/>
      <c r="M101" s="218">
        <f t="shared" si="210"/>
        <v>1944</v>
      </c>
      <c r="N101" s="216">
        <f t="shared" si="211"/>
        <v>1680</v>
      </c>
      <c r="O101" s="251">
        <f t="shared" si="212"/>
        <v>580.1</v>
      </c>
      <c r="P101" s="251">
        <f t="shared" si="213"/>
        <v>308.18</v>
      </c>
      <c r="Q101" s="251">
        <f t="shared" si="214"/>
        <v>18.13</v>
      </c>
      <c r="R101" s="251">
        <f t="shared" si="215"/>
        <v>11.6</v>
      </c>
      <c r="S101" s="251"/>
      <c r="T101" s="252"/>
      <c r="U101" s="253">
        <f t="shared" si="217"/>
        <v>38.88</v>
      </c>
      <c r="V101" s="253"/>
      <c r="W101" s="254"/>
      <c r="X101" s="253">
        <f t="shared" si="218"/>
        <v>2900.8900000000012</v>
      </c>
      <c r="Y101" s="254">
        <v>2500</v>
      </c>
      <c r="Z101" s="255">
        <f t="shared" si="219"/>
        <v>39410.680000000015</v>
      </c>
      <c r="AA101" s="232">
        <f t="shared" si="220"/>
        <v>134.4</v>
      </c>
      <c r="AB101" s="232">
        <f t="shared" si="221"/>
        <v>33.6</v>
      </c>
      <c r="AC101" s="232">
        <f t="shared" si="222"/>
        <v>8.4</v>
      </c>
      <c r="AD101" s="232">
        <f t="shared" si="223"/>
        <v>176.4</v>
      </c>
      <c r="AE101" s="232">
        <f t="shared" si="224"/>
        <v>290.05</v>
      </c>
      <c r="AF101" s="232">
        <f t="shared" si="225"/>
        <v>72.51</v>
      </c>
      <c r="AG101" s="232">
        <f t="shared" si="226"/>
        <v>18.13</v>
      </c>
      <c r="AH101" s="232">
        <f t="shared" si="227"/>
        <v>380.69</v>
      </c>
      <c r="AI101" s="232">
        <f t="shared" si="228"/>
        <v>204.29</v>
      </c>
      <c r="AJ101" s="232"/>
      <c r="AK101" s="245"/>
      <c r="AL101" s="178"/>
      <c r="AM101" s="178"/>
      <c r="AN101" s="178"/>
    </row>
    <row r="102" spans="1:40" s="176" customFormat="1" ht="13.5" hidden="1">
      <c r="A102" s="186">
        <v>17</v>
      </c>
      <c r="B102" s="186"/>
      <c r="C102" s="193" t="s">
        <v>166</v>
      </c>
      <c r="D102" s="193" t="s">
        <v>167</v>
      </c>
      <c r="E102" s="249">
        <v>2300</v>
      </c>
      <c r="F102" s="250">
        <v>410</v>
      </c>
      <c r="G102" s="250">
        <v>270</v>
      </c>
      <c r="H102" s="250"/>
      <c r="I102" s="250"/>
      <c r="J102" s="250">
        <v>264</v>
      </c>
      <c r="K102" s="195"/>
      <c r="L102" s="195"/>
      <c r="M102" s="218">
        <f t="shared" si="210"/>
        <v>3244</v>
      </c>
      <c r="N102" s="216">
        <f t="shared" si="211"/>
        <v>2980</v>
      </c>
      <c r="O102" s="251">
        <f t="shared" si="212"/>
        <v>580.1</v>
      </c>
      <c r="P102" s="251">
        <f t="shared" si="213"/>
        <v>308.18</v>
      </c>
      <c r="Q102" s="251">
        <f t="shared" si="214"/>
        <v>18.13</v>
      </c>
      <c r="R102" s="251">
        <f t="shared" si="215"/>
        <v>11.6</v>
      </c>
      <c r="S102" s="251"/>
      <c r="T102" s="252">
        <f t="shared" si="229"/>
        <v>358</v>
      </c>
      <c r="U102" s="253">
        <f t="shared" si="217"/>
        <v>64.88</v>
      </c>
      <c r="V102" s="253"/>
      <c r="W102" s="254">
        <v>500</v>
      </c>
      <c r="X102" s="253">
        <f t="shared" si="218"/>
        <v>5084.890000000001</v>
      </c>
      <c r="Y102" s="254">
        <v>12000</v>
      </c>
      <c r="Z102" s="255">
        <f t="shared" si="219"/>
        <v>81118.68000000002</v>
      </c>
      <c r="AA102" s="232">
        <f t="shared" si="220"/>
        <v>238.4</v>
      </c>
      <c r="AB102" s="232">
        <f t="shared" si="221"/>
        <v>59.6</v>
      </c>
      <c r="AC102" s="232">
        <f t="shared" si="222"/>
        <v>14.9</v>
      </c>
      <c r="AD102" s="232">
        <f t="shared" si="223"/>
        <v>312.9</v>
      </c>
      <c r="AE102" s="232">
        <f t="shared" si="224"/>
        <v>290.05</v>
      </c>
      <c r="AF102" s="232">
        <f t="shared" si="225"/>
        <v>72.51</v>
      </c>
      <c r="AG102" s="232">
        <f t="shared" si="226"/>
        <v>18.13</v>
      </c>
      <c r="AH102" s="232">
        <f t="shared" si="227"/>
        <v>380.69</v>
      </c>
      <c r="AI102" s="232">
        <f t="shared" si="228"/>
        <v>67.79000000000002</v>
      </c>
      <c r="AJ102" s="232"/>
      <c r="AK102" s="245"/>
      <c r="AL102" s="178"/>
      <c r="AM102" s="178"/>
      <c r="AN102" s="178"/>
    </row>
    <row r="103" spans="1:40" s="176" customFormat="1" ht="13.5" hidden="1">
      <c r="A103" s="186">
        <v>18</v>
      </c>
      <c r="B103" s="186"/>
      <c r="C103" s="193" t="s">
        <v>168</v>
      </c>
      <c r="D103" s="193" t="s">
        <v>167</v>
      </c>
      <c r="E103" s="249">
        <v>2300</v>
      </c>
      <c r="F103" s="250">
        <v>410</v>
      </c>
      <c r="G103" s="250">
        <v>120</v>
      </c>
      <c r="H103" s="250"/>
      <c r="I103" s="250"/>
      <c r="J103" s="250">
        <v>264</v>
      </c>
      <c r="K103" s="195"/>
      <c r="L103" s="195"/>
      <c r="M103" s="218">
        <f t="shared" si="210"/>
        <v>3094</v>
      </c>
      <c r="N103" s="216">
        <f t="shared" si="211"/>
        <v>2830</v>
      </c>
      <c r="O103" s="251">
        <f t="shared" si="212"/>
        <v>580.1</v>
      </c>
      <c r="P103" s="251">
        <f t="shared" si="213"/>
        <v>308.18</v>
      </c>
      <c r="Q103" s="251">
        <f t="shared" si="214"/>
        <v>18.13</v>
      </c>
      <c r="R103" s="251">
        <f t="shared" si="215"/>
        <v>11.6</v>
      </c>
      <c r="S103" s="251"/>
      <c r="T103" s="252">
        <f t="shared" si="229"/>
        <v>340</v>
      </c>
      <c r="U103" s="253">
        <f t="shared" si="217"/>
        <v>61.88</v>
      </c>
      <c r="V103" s="253"/>
      <c r="W103" s="254">
        <v>500</v>
      </c>
      <c r="X103" s="253">
        <f t="shared" si="218"/>
        <v>4913.890000000001</v>
      </c>
      <c r="Y103" s="254">
        <v>12000</v>
      </c>
      <c r="Z103" s="255">
        <f t="shared" si="219"/>
        <v>79066.68000000002</v>
      </c>
      <c r="AA103" s="232">
        <f t="shared" si="220"/>
        <v>226.4</v>
      </c>
      <c r="AB103" s="232">
        <f t="shared" si="221"/>
        <v>56.6</v>
      </c>
      <c r="AC103" s="232">
        <f t="shared" si="222"/>
        <v>14.15</v>
      </c>
      <c r="AD103" s="232">
        <f t="shared" si="223"/>
        <v>297.15</v>
      </c>
      <c r="AE103" s="232">
        <f t="shared" si="224"/>
        <v>290.05</v>
      </c>
      <c r="AF103" s="232">
        <f t="shared" si="225"/>
        <v>72.51</v>
      </c>
      <c r="AG103" s="232">
        <f t="shared" si="226"/>
        <v>18.13</v>
      </c>
      <c r="AH103" s="232">
        <f t="shared" si="227"/>
        <v>380.69</v>
      </c>
      <c r="AI103" s="232">
        <f t="shared" si="228"/>
        <v>83.54000000000002</v>
      </c>
      <c r="AJ103" s="232"/>
      <c r="AK103" s="245"/>
      <c r="AL103" s="178"/>
      <c r="AM103" s="178"/>
      <c r="AN103" s="178"/>
    </row>
    <row r="104" spans="1:40" s="176" customFormat="1" ht="13.5" hidden="1">
      <c r="A104" s="186">
        <v>19</v>
      </c>
      <c r="B104" s="186"/>
      <c r="C104" s="193" t="s">
        <v>169</v>
      </c>
      <c r="D104" s="193" t="s">
        <v>167</v>
      </c>
      <c r="E104" s="249">
        <v>2300</v>
      </c>
      <c r="F104" s="250">
        <v>410</v>
      </c>
      <c r="G104" s="250">
        <v>160</v>
      </c>
      <c r="H104" s="250"/>
      <c r="I104" s="250"/>
      <c r="J104" s="250">
        <v>264</v>
      </c>
      <c r="K104" s="195"/>
      <c r="L104" s="195"/>
      <c r="M104" s="218">
        <f t="shared" si="210"/>
        <v>3134</v>
      </c>
      <c r="N104" s="216">
        <f t="shared" si="211"/>
        <v>2870</v>
      </c>
      <c r="O104" s="251">
        <f t="shared" si="212"/>
        <v>580.1</v>
      </c>
      <c r="P104" s="251">
        <f t="shared" si="213"/>
        <v>308.18</v>
      </c>
      <c r="Q104" s="251">
        <f t="shared" si="214"/>
        <v>18.13</v>
      </c>
      <c r="R104" s="251">
        <f t="shared" si="215"/>
        <v>11.6</v>
      </c>
      <c r="S104" s="251"/>
      <c r="T104" s="252">
        <f t="shared" si="229"/>
        <v>345</v>
      </c>
      <c r="U104" s="253">
        <f t="shared" si="217"/>
        <v>62.68</v>
      </c>
      <c r="V104" s="253"/>
      <c r="W104" s="254">
        <v>500</v>
      </c>
      <c r="X104" s="253">
        <f t="shared" si="218"/>
        <v>4959.690000000001</v>
      </c>
      <c r="Y104" s="254">
        <v>12000</v>
      </c>
      <c r="Z104" s="255">
        <f t="shared" si="219"/>
        <v>79616.28000000001</v>
      </c>
      <c r="AA104" s="232">
        <f t="shared" si="220"/>
        <v>229.6</v>
      </c>
      <c r="AB104" s="232">
        <f t="shared" si="221"/>
        <v>57.4</v>
      </c>
      <c r="AC104" s="232">
        <f t="shared" si="222"/>
        <v>14.35</v>
      </c>
      <c r="AD104" s="232">
        <f t="shared" si="223"/>
        <v>301.35</v>
      </c>
      <c r="AE104" s="232">
        <f t="shared" si="224"/>
        <v>290.05</v>
      </c>
      <c r="AF104" s="232">
        <f t="shared" si="225"/>
        <v>72.51</v>
      </c>
      <c r="AG104" s="232">
        <f t="shared" si="226"/>
        <v>18.13</v>
      </c>
      <c r="AH104" s="232">
        <f t="shared" si="227"/>
        <v>380.69</v>
      </c>
      <c r="AI104" s="232">
        <f t="shared" si="228"/>
        <v>79.33999999999997</v>
      </c>
      <c r="AJ104" s="232"/>
      <c r="AK104" s="245"/>
      <c r="AL104" s="178"/>
      <c r="AM104" s="178"/>
      <c r="AN104" s="178"/>
    </row>
    <row r="105" spans="1:40" s="176" customFormat="1" ht="13.5" hidden="1">
      <c r="A105" s="186">
        <v>20</v>
      </c>
      <c r="B105" s="186"/>
      <c r="C105" s="193" t="s">
        <v>170</v>
      </c>
      <c r="D105" s="193" t="s">
        <v>156</v>
      </c>
      <c r="E105" s="249">
        <v>2500</v>
      </c>
      <c r="F105" s="250">
        <v>240</v>
      </c>
      <c r="G105" s="250">
        <v>50</v>
      </c>
      <c r="H105" s="250"/>
      <c r="I105" s="250"/>
      <c r="J105" s="250">
        <v>264</v>
      </c>
      <c r="K105" s="195"/>
      <c r="L105" s="195"/>
      <c r="M105" s="218">
        <f t="shared" si="210"/>
        <v>3054</v>
      </c>
      <c r="N105" s="216">
        <f t="shared" si="211"/>
        <v>2790</v>
      </c>
      <c r="O105" s="251">
        <f t="shared" si="212"/>
        <v>580.1</v>
      </c>
      <c r="P105" s="251">
        <f t="shared" si="213"/>
        <v>308.18</v>
      </c>
      <c r="Q105" s="251">
        <f t="shared" si="214"/>
        <v>18.13</v>
      </c>
      <c r="R105" s="251">
        <f t="shared" si="215"/>
        <v>11.6</v>
      </c>
      <c r="S105" s="251"/>
      <c r="T105" s="252">
        <f t="shared" si="229"/>
        <v>335</v>
      </c>
      <c r="U105" s="253">
        <f t="shared" si="217"/>
        <v>61.08</v>
      </c>
      <c r="V105" s="253"/>
      <c r="W105" s="254">
        <v>600</v>
      </c>
      <c r="X105" s="253">
        <f t="shared" si="218"/>
        <v>4968.090000000001</v>
      </c>
      <c r="Y105" s="254">
        <v>14000</v>
      </c>
      <c r="Z105" s="255">
        <f t="shared" si="219"/>
        <v>82917.08000000002</v>
      </c>
      <c r="AA105" s="232">
        <f t="shared" si="220"/>
        <v>223.2</v>
      </c>
      <c r="AB105" s="232">
        <f t="shared" si="221"/>
        <v>55.8</v>
      </c>
      <c r="AC105" s="232">
        <f t="shared" si="222"/>
        <v>13.95</v>
      </c>
      <c r="AD105" s="232">
        <f t="shared" si="223"/>
        <v>292.95</v>
      </c>
      <c r="AE105" s="232">
        <f t="shared" si="224"/>
        <v>290.05</v>
      </c>
      <c r="AF105" s="232">
        <f t="shared" si="225"/>
        <v>72.51</v>
      </c>
      <c r="AG105" s="232">
        <f t="shared" si="226"/>
        <v>18.13</v>
      </c>
      <c r="AH105" s="232">
        <f t="shared" si="227"/>
        <v>380.69</v>
      </c>
      <c r="AI105" s="232">
        <f t="shared" si="228"/>
        <v>87.74000000000001</v>
      </c>
      <c r="AJ105" s="232"/>
      <c r="AK105" s="245"/>
      <c r="AL105" s="178"/>
      <c r="AM105" s="178"/>
      <c r="AN105" s="178"/>
    </row>
    <row r="106" spans="1:40" s="176" customFormat="1" ht="13.5" hidden="1">
      <c r="A106" s="186">
        <v>21</v>
      </c>
      <c r="B106" s="186"/>
      <c r="C106" s="193" t="s">
        <v>171</v>
      </c>
      <c r="D106" s="193" t="s">
        <v>156</v>
      </c>
      <c r="E106" s="249">
        <v>1900</v>
      </c>
      <c r="F106" s="250">
        <v>410</v>
      </c>
      <c r="G106" s="250">
        <v>350</v>
      </c>
      <c r="H106" s="250"/>
      <c r="I106" s="250"/>
      <c r="J106" s="250">
        <v>264</v>
      </c>
      <c r="K106" s="195"/>
      <c r="L106" s="195"/>
      <c r="M106" s="218">
        <f t="shared" si="210"/>
        <v>2924</v>
      </c>
      <c r="N106" s="216">
        <f t="shared" si="211"/>
        <v>2660</v>
      </c>
      <c r="O106" s="251">
        <f t="shared" si="212"/>
        <v>580.1</v>
      </c>
      <c r="P106" s="251">
        <f t="shared" si="213"/>
        <v>308.18</v>
      </c>
      <c r="Q106" s="251">
        <f t="shared" si="214"/>
        <v>18.13</v>
      </c>
      <c r="R106" s="251">
        <f t="shared" si="215"/>
        <v>11.6</v>
      </c>
      <c r="S106" s="251"/>
      <c r="T106" s="252">
        <f t="shared" si="229"/>
        <v>320</v>
      </c>
      <c r="U106" s="253">
        <f t="shared" si="217"/>
        <v>58.480000000000004</v>
      </c>
      <c r="V106" s="253"/>
      <c r="W106" s="254">
        <v>500</v>
      </c>
      <c r="X106" s="253">
        <f t="shared" si="218"/>
        <v>4720.490000000001</v>
      </c>
      <c r="Y106" s="254">
        <v>12000</v>
      </c>
      <c r="Z106" s="255">
        <f t="shared" si="219"/>
        <v>76745.88</v>
      </c>
      <c r="AA106" s="232">
        <f t="shared" si="220"/>
        <v>212.8</v>
      </c>
      <c r="AB106" s="232">
        <f t="shared" si="221"/>
        <v>53.2</v>
      </c>
      <c r="AC106" s="232">
        <f t="shared" si="222"/>
        <v>13.3</v>
      </c>
      <c r="AD106" s="232">
        <f t="shared" si="223"/>
        <v>279.3</v>
      </c>
      <c r="AE106" s="232">
        <f t="shared" si="224"/>
        <v>290.05</v>
      </c>
      <c r="AF106" s="232">
        <f t="shared" si="225"/>
        <v>72.51</v>
      </c>
      <c r="AG106" s="232">
        <f t="shared" si="226"/>
        <v>18.13</v>
      </c>
      <c r="AH106" s="232">
        <f t="shared" si="227"/>
        <v>380.69</v>
      </c>
      <c r="AI106" s="232">
        <f t="shared" si="228"/>
        <v>101.38999999999999</v>
      </c>
      <c r="AJ106" s="232"/>
      <c r="AK106" s="245"/>
      <c r="AL106" s="178"/>
      <c r="AM106" s="178"/>
      <c r="AN106" s="178"/>
    </row>
    <row r="107" spans="1:40" s="176" customFormat="1" ht="13.5" hidden="1">
      <c r="A107" s="186">
        <v>22</v>
      </c>
      <c r="B107" s="186"/>
      <c r="C107" s="193" t="s">
        <v>172</v>
      </c>
      <c r="D107" s="193" t="s">
        <v>156</v>
      </c>
      <c r="E107" s="249">
        <v>1900</v>
      </c>
      <c r="F107" s="250">
        <v>410</v>
      </c>
      <c r="G107" s="250">
        <v>170</v>
      </c>
      <c r="H107" s="250"/>
      <c r="I107" s="250"/>
      <c r="J107" s="250">
        <v>264</v>
      </c>
      <c r="K107" s="195"/>
      <c r="L107" s="195"/>
      <c r="M107" s="218">
        <f t="shared" si="210"/>
        <v>2744</v>
      </c>
      <c r="N107" s="216">
        <f t="shared" si="211"/>
        <v>2480</v>
      </c>
      <c r="O107" s="251">
        <f t="shared" si="212"/>
        <v>580.1</v>
      </c>
      <c r="P107" s="251">
        <f t="shared" si="213"/>
        <v>308.18</v>
      </c>
      <c r="Q107" s="251">
        <f t="shared" si="214"/>
        <v>18.13</v>
      </c>
      <c r="R107" s="251">
        <f t="shared" si="215"/>
        <v>11.6</v>
      </c>
      <c r="S107" s="251"/>
      <c r="T107" s="252">
        <f t="shared" si="229"/>
        <v>298</v>
      </c>
      <c r="U107" s="253">
        <f t="shared" si="217"/>
        <v>54.88</v>
      </c>
      <c r="V107" s="253"/>
      <c r="W107" s="254">
        <v>500</v>
      </c>
      <c r="X107" s="253">
        <f t="shared" si="218"/>
        <v>4514.890000000001</v>
      </c>
      <c r="Y107" s="254">
        <v>12000</v>
      </c>
      <c r="Z107" s="255">
        <f t="shared" si="219"/>
        <v>74278.68000000002</v>
      </c>
      <c r="AA107" s="232">
        <f t="shared" si="220"/>
        <v>198.4</v>
      </c>
      <c r="AB107" s="232">
        <f t="shared" si="221"/>
        <v>49.6</v>
      </c>
      <c r="AC107" s="232">
        <f t="shared" si="222"/>
        <v>12.4</v>
      </c>
      <c r="AD107" s="232">
        <f t="shared" si="223"/>
        <v>260.4</v>
      </c>
      <c r="AE107" s="232">
        <f t="shared" si="224"/>
        <v>290.05</v>
      </c>
      <c r="AF107" s="232">
        <f t="shared" si="225"/>
        <v>72.51</v>
      </c>
      <c r="AG107" s="232">
        <f t="shared" si="226"/>
        <v>18.13</v>
      </c>
      <c r="AH107" s="232">
        <f t="shared" si="227"/>
        <v>380.69</v>
      </c>
      <c r="AI107" s="232">
        <f t="shared" si="228"/>
        <v>120.29000000000002</v>
      </c>
      <c r="AJ107" s="232"/>
      <c r="AK107" s="245"/>
      <c r="AL107" s="178"/>
      <c r="AM107" s="178"/>
      <c r="AN107" s="178"/>
    </row>
    <row r="108" spans="1:40" s="176" customFormat="1" ht="13.5" hidden="1">
      <c r="A108" s="186">
        <v>23</v>
      </c>
      <c r="B108" s="186"/>
      <c r="C108" s="193" t="s">
        <v>173</v>
      </c>
      <c r="D108" s="193" t="s">
        <v>174</v>
      </c>
      <c r="E108" s="249">
        <v>1900</v>
      </c>
      <c r="F108" s="250">
        <v>410</v>
      </c>
      <c r="G108" s="250">
        <v>370</v>
      </c>
      <c r="H108" s="250"/>
      <c r="I108" s="250"/>
      <c r="J108" s="250">
        <v>264</v>
      </c>
      <c r="K108" s="195"/>
      <c r="L108" s="195"/>
      <c r="M108" s="218">
        <f t="shared" si="210"/>
        <v>2944</v>
      </c>
      <c r="N108" s="216">
        <f t="shared" si="211"/>
        <v>2680</v>
      </c>
      <c r="O108" s="251">
        <f t="shared" si="212"/>
        <v>580.1</v>
      </c>
      <c r="P108" s="251">
        <f t="shared" si="213"/>
        <v>308.18</v>
      </c>
      <c r="Q108" s="251">
        <f t="shared" si="214"/>
        <v>18.13</v>
      </c>
      <c r="R108" s="251">
        <f t="shared" si="215"/>
        <v>11.6</v>
      </c>
      <c r="S108" s="251"/>
      <c r="T108" s="252">
        <f t="shared" si="229"/>
        <v>322</v>
      </c>
      <c r="U108" s="253">
        <f t="shared" si="217"/>
        <v>58.88</v>
      </c>
      <c r="V108" s="253"/>
      <c r="W108" s="254">
        <v>500</v>
      </c>
      <c r="X108" s="253">
        <f t="shared" si="218"/>
        <v>4742.890000000001</v>
      </c>
      <c r="Y108" s="254">
        <v>12000</v>
      </c>
      <c r="Z108" s="255">
        <f t="shared" si="219"/>
        <v>77014.68000000002</v>
      </c>
      <c r="AA108" s="232">
        <f t="shared" si="220"/>
        <v>214.4</v>
      </c>
      <c r="AB108" s="232">
        <f t="shared" si="221"/>
        <v>53.6</v>
      </c>
      <c r="AC108" s="232">
        <f t="shared" si="222"/>
        <v>13.4</v>
      </c>
      <c r="AD108" s="232">
        <f t="shared" si="223"/>
        <v>281.4</v>
      </c>
      <c r="AE108" s="232">
        <f t="shared" si="224"/>
        <v>290.05</v>
      </c>
      <c r="AF108" s="232">
        <f t="shared" si="225"/>
        <v>72.51</v>
      </c>
      <c r="AG108" s="232">
        <f t="shared" si="226"/>
        <v>18.13</v>
      </c>
      <c r="AH108" s="232">
        <f t="shared" si="227"/>
        <v>380.69</v>
      </c>
      <c r="AI108" s="232">
        <f t="shared" si="228"/>
        <v>99.29000000000002</v>
      </c>
      <c r="AJ108" s="232"/>
      <c r="AK108" s="245"/>
      <c r="AL108" s="178"/>
      <c r="AM108" s="178"/>
      <c r="AN108" s="178"/>
    </row>
    <row r="109" spans="1:40" s="176" customFormat="1" ht="13.5" hidden="1">
      <c r="A109" s="186">
        <v>24</v>
      </c>
      <c r="B109" s="186"/>
      <c r="C109" s="193" t="s">
        <v>175</v>
      </c>
      <c r="D109" s="193" t="s">
        <v>174</v>
      </c>
      <c r="E109" s="249">
        <v>1900</v>
      </c>
      <c r="F109" s="250">
        <v>410</v>
      </c>
      <c r="G109" s="250">
        <v>400</v>
      </c>
      <c r="H109" s="250"/>
      <c r="I109" s="250"/>
      <c r="J109" s="250">
        <v>264</v>
      </c>
      <c r="K109" s="195"/>
      <c r="L109" s="195"/>
      <c r="M109" s="218">
        <f t="shared" si="210"/>
        <v>2974</v>
      </c>
      <c r="N109" s="216">
        <f t="shared" si="211"/>
        <v>2710</v>
      </c>
      <c r="O109" s="251">
        <f t="shared" si="212"/>
        <v>580.1</v>
      </c>
      <c r="P109" s="251">
        <f t="shared" si="213"/>
        <v>308.18</v>
      </c>
      <c r="Q109" s="251">
        <f t="shared" si="214"/>
        <v>18.13</v>
      </c>
      <c r="R109" s="251">
        <f t="shared" si="215"/>
        <v>11.6</v>
      </c>
      <c r="S109" s="251"/>
      <c r="T109" s="252">
        <f t="shared" si="229"/>
        <v>326</v>
      </c>
      <c r="U109" s="253">
        <f t="shared" si="217"/>
        <v>59.480000000000004</v>
      </c>
      <c r="V109" s="253"/>
      <c r="W109" s="254">
        <v>500</v>
      </c>
      <c r="X109" s="253">
        <f t="shared" si="218"/>
        <v>4777.490000000001</v>
      </c>
      <c r="Y109" s="254">
        <v>12000</v>
      </c>
      <c r="Z109" s="255">
        <f t="shared" si="219"/>
        <v>77429.88</v>
      </c>
      <c r="AA109" s="232">
        <f t="shared" si="220"/>
        <v>216.8</v>
      </c>
      <c r="AB109" s="232">
        <f t="shared" si="221"/>
        <v>54.2</v>
      </c>
      <c r="AC109" s="232">
        <f t="shared" si="222"/>
        <v>13.55</v>
      </c>
      <c r="AD109" s="232">
        <f t="shared" si="223"/>
        <v>284.55</v>
      </c>
      <c r="AE109" s="232">
        <f t="shared" si="224"/>
        <v>290.05</v>
      </c>
      <c r="AF109" s="232">
        <f t="shared" si="225"/>
        <v>72.51</v>
      </c>
      <c r="AG109" s="232">
        <f t="shared" si="226"/>
        <v>18.13</v>
      </c>
      <c r="AH109" s="232">
        <f t="shared" si="227"/>
        <v>380.69</v>
      </c>
      <c r="AI109" s="232">
        <f t="shared" si="228"/>
        <v>96.13999999999999</v>
      </c>
      <c r="AJ109" s="232"/>
      <c r="AK109" s="245"/>
      <c r="AL109" s="178"/>
      <c r="AM109" s="178"/>
      <c r="AN109" s="178"/>
    </row>
    <row r="110" spans="1:40" s="176" customFormat="1" ht="13.5" hidden="1">
      <c r="A110" s="186">
        <v>25</v>
      </c>
      <c r="B110" s="186"/>
      <c r="C110" s="193" t="s">
        <v>176</v>
      </c>
      <c r="D110" s="193" t="s">
        <v>174</v>
      </c>
      <c r="E110" s="249">
        <v>1800</v>
      </c>
      <c r="F110" s="250">
        <v>410</v>
      </c>
      <c r="G110" s="250">
        <v>100</v>
      </c>
      <c r="H110" s="250"/>
      <c r="I110" s="250"/>
      <c r="J110" s="250">
        <v>264</v>
      </c>
      <c r="K110" s="195"/>
      <c r="L110" s="195"/>
      <c r="M110" s="218">
        <f t="shared" si="210"/>
        <v>2574</v>
      </c>
      <c r="N110" s="216">
        <f t="shared" si="211"/>
        <v>2310</v>
      </c>
      <c r="O110" s="251">
        <f t="shared" si="212"/>
        <v>580.1</v>
      </c>
      <c r="P110" s="251">
        <f t="shared" si="213"/>
        <v>308.18</v>
      </c>
      <c r="Q110" s="251">
        <f t="shared" si="214"/>
        <v>18.13</v>
      </c>
      <c r="R110" s="251">
        <f t="shared" si="215"/>
        <v>11.6</v>
      </c>
      <c r="S110" s="251"/>
      <c r="T110" s="252">
        <f t="shared" si="229"/>
        <v>278</v>
      </c>
      <c r="U110" s="253">
        <f t="shared" si="217"/>
        <v>51.480000000000004</v>
      </c>
      <c r="V110" s="253"/>
      <c r="W110" s="254">
        <v>500</v>
      </c>
      <c r="X110" s="253">
        <f t="shared" si="218"/>
        <v>4321.490000000001</v>
      </c>
      <c r="Y110" s="254">
        <v>12000</v>
      </c>
      <c r="Z110" s="255">
        <f t="shared" si="219"/>
        <v>71957.88</v>
      </c>
      <c r="AA110" s="232">
        <f t="shared" si="220"/>
        <v>184.8</v>
      </c>
      <c r="AB110" s="232">
        <f t="shared" si="221"/>
        <v>46.2</v>
      </c>
      <c r="AC110" s="232">
        <f t="shared" si="222"/>
        <v>11.55</v>
      </c>
      <c r="AD110" s="232">
        <f t="shared" si="223"/>
        <v>242.55</v>
      </c>
      <c r="AE110" s="232">
        <f t="shared" si="224"/>
        <v>290.05</v>
      </c>
      <c r="AF110" s="232">
        <f t="shared" si="225"/>
        <v>72.51</v>
      </c>
      <c r="AG110" s="232">
        <f t="shared" si="226"/>
        <v>18.13</v>
      </c>
      <c r="AH110" s="232">
        <f t="shared" si="227"/>
        <v>380.69</v>
      </c>
      <c r="AI110" s="232">
        <f t="shared" si="228"/>
        <v>138.14</v>
      </c>
      <c r="AJ110" s="232"/>
      <c r="AK110" s="245"/>
      <c r="AL110" s="178"/>
      <c r="AM110" s="178"/>
      <c r="AN110" s="178"/>
    </row>
    <row r="111" spans="1:40" s="176" customFormat="1" ht="13.5" hidden="1">
      <c r="A111" s="186">
        <v>26</v>
      </c>
      <c r="B111" s="186"/>
      <c r="C111" s="193" t="s">
        <v>177</v>
      </c>
      <c r="D111" s="193" t="s">
        <v>149</v>
      </c>
      <c r="E111" s="249">
        <v>2500</v>
      </c>
      <c r="F111" s="250">
        <v>240</v>
      </c>
      <c r="G111" s="250">
        <v>40</v>
      </c>
      <c r="H111" s="250"/>
      <c r="I111" s="250"/>
      <c r="J111" s="250">
        <v>264</v>
      </c>
      <c r="K111" s="195"/>
      <c r="L111" s="195"/>
      <c r="M111" s="218">
        <f t="shared" si="210"/>
        <v>3044</v>
      </c>
      <c r="N111" s="216">
        <f t="shared" si="211"/>
        <v>2780</v>
      </c>
      <c r="O111" s="251">
        <f t="shared" si="212"/>
        <v>580.1</v>
      </c>
      <c r="P111" s="251">
        <f t="shared" si="213"/>
        <v>308.18</v>
      </c>
      <c r="Q111" s="251">
        <f t="shared" si="214"/>
        <v>18.13</v>
      </c>
      <c r="R111" s="251">
        <f t="shared" si="215"/>
        <v>11.6</v>
      </c>
      <c r="S111" s="251"/>
      <c r="T111" s="252">
        <f t="shared" si="229"/>
        <v>334</v>
      </c>
      <c r="U111" s="253">
        <f t="shared" si="217"/>
        <v>60.88</v>
      </c>
      <c r="V111" s="253"/>
      <c r="W111" s="254">
        <v>600</v>
      </c>
      <c r="X111" s="253">
        <f t="shared" si="218"/>
        <v>4956.890000000001</v>
      </c>
      <c r="Y111" s="254">
        <v>14000</v>
      </c>
      <c r="Z111" s="255">
        <f t="shared" si="219"/>
        <v>82782.68000000002</v>
      </c>
      <c r="AA111" s="232">
        <f t="shared" si="220"/>
        <v>222.4</v>
      </c>
      <c r="AB111" s="232">
        <f t="shared" si="221"/>
        <v>55.6</v>
      </c>
      <c r="AC111" s="232">
        <f t="shared" si="222"/>
        <v>13.9</v>
      </c>
      <c r="AD111" s="232">
        <f t="shared" si="223"/>
        <v>291.9</v>
      </c>
      <c r="AE111" s="232">
        <f t="shared" si="224"/>
        <v>290.05</v>
      </c>
      <c r="AF111" s="232">
        <f t="shared" si="225"/>
        <v>72.51</v>
      </c>
      <c r="AG111" s="232">
        <f t="shared" si="226"/>
        <v>18.13</v>
      </c>
      <c r="AH111" s="232">
        <f t="shared" si="227"/>
        <v>380.69</v>
      </c>
      <c r="AI111" s="232">
        <f t="shared" si="228"/>
        <v>88.79000000000002</v>
      </c>
      <c r="AJ111" s="232"/>
      <c r="AK111" s="245"/>
      <c r="AL111" s="178"/>
      <c r="AM111" s="178"/>
      <c r="AN111" s="178"/>
    </row>
    <row r="112" spans="1:40" s="176" customFormat="1" ht="13.5" hidden="1">
      <c r="A112" s="186">
        <v>27</v>
      </c>
      <c r="B112" s="186"/>
      <c r="C112" s="193" t="s">
        <v>178</v>
      </c>
      <c r="D112" s="193" t="s">
        <v>58</v>
      </c>
      <c r="E112" s="249">
        <v>2500</v>
      </c>
      <c r="F112" s="250">
        <v>240</v>
      </c>
      <c r="G112" s="250">
        <v>150</v>
      </c>
      <c r="H112" s="250"/>
      <c r="I112" s="250"/>
      <c r="J112" s="250">
        <v>264</v>
      </c>
      <c r="K112" s="195"/>
      <c r="L112" s="195"/>
      <c r="M112" s="218">
        <f t="shared" si="210"/>
        <v>3154</v>
      </c>
      <c r="N112" s="216">
        <f t="shared" si="211"/>
        <v>2890</v>
      </c>
      <c r="O112" s="251">
        <f t="shared" si="212"/>
        <v>580.1</v>
      </c>
      <c r="P112" s="251">
        <f t="shared" si="213"/>
        <v>308.18</v>
      </c>
      <c r="Q112" s="251">
        <f t="shared" si="214"/>
        <v>18.13</v>
      </c>
      <c r="R112" s="251">
        <f t="shared" si="215"/>
        <v>11.6</v>
      </c>
      <c r="S112" s="251"/>
      <c r="T112" s="252">
        <f t="shared" si="229"/>
        <v>347</v>
      </c>
      <c r="U112" s="253">
        <f t="shared" si="217"/>
        <v>63.08</v>
      </c>
      <c r="V112" s="253"/>
      <c r="W112" s="254">
        <v>600</v>
      </c>
      <c r="X112" s="253">
        <f t="shared" si="218"/>
        <v>5082.090000000001</v>
      </c>
      <c r="Y112" s="254">
        <v>14000</v>
      </c>
      <c r="Z112" s="255">
        <f t="shared" si="219"/>
        <v>84285.08000000002</v>
      </c>
      <c r="AA112" s="232">
        <f t="shared" si="220"/>
        <v>231.2</v>
      </c>
      <c r="AB112" s="232">
        <f t="shared" si="221"/>
        <v>57.8</v>
      </c>
      <c r="AC112" s="232">
        <f t="shared" si="222"/>
        <v>14.45</v>
      </c>
      <c r="AD112" s="232">
        <f t="shared" si="223"/>
        <v>303.45</v>
      </c>
      <c r="AE112" s="232">
        <f t="shared" si="224"/>
        <v>290.05</v>
      </c>
      <c r="AF112" s="232">
        <f t="shared" si="225"/>
        <v>72.51</v>
      </c>
      <c r="AG112" s="232">
        <f t="shared" si="226"/>
        <v>18.13</v>
      </c>
      <c r="AH112" s="232">
        <f t="shared" si="227"/>
        <v>380.69</v>
      </c>
      <c r="AI112" s="232">
        <f t="shared" si="228"/>
        <v>77.24000000000001</v>
      </c>
      <c r="AJ112" s="232"/>
      <c r="AK112" s="245"/>
      <c r="AL112" s="178"/>
      <c r="AM112" s="178"/>
      <c r="AN112" s="178"/>
    </row>
    <row r="113" spans="1:40" s="176" customFormat="1" ht="13.5" hidden="1">
      <c r="A113" s="186">
        <v>28</v>
      </c>
      <c r="B113" s="186"/>
      <c r="C113" s="193" t="s">
        <v>179</v>
      </c>
      <c r="D113" s="193" t="s">
        <v>58</v>
      </c>
      <c r="E113" s="249">
        <v>1800</v>
      </c>
      <c r="F113" s="250">
        <v>410</v>
      </c>
      <c r="G113" s="250">
        <v>100</v>
      </c>
      <c r="H113" s="250"/>
      <c r="I113" s="250"/>
      <c r="J113" s="250">
        <v>264</v>
      </c>
      <c r="K113" s="195"/>
      <c r="L113" s="195"/>
      <c r="M113" s="218">
        <f t="shared" si="210"/>
        <v>2574</v>
      </c>
      <c r="N113" s="216">
        <f t="shared" si="211"/>
        <v>2310</v>
      </c>
      <c r="O113" s="251">
        <f t="shared" si="212"/>
        <v>580.1</v>
      </c>
      <c r="P113" s="251">
        <f t="shared" si="213"/>
        <v>308.18</v>
      </c>
      <c r="Q113" s="251">
        <f t="shared" si="214"/>
        <v>18.13</v>
      </c>
      <c r="R113" s="251">
        <f t="shared" si="215"/>
        <v>11.6</v>
      </c>
      <c r="S113" s="251"/>
      <c r="T113" s="252">
        <f t="shared" si="229"/>
        <v>278</v>
      </c>
      <c r="U113" s="253">
        <f t="shared" si="217"/>
        <v>51.480000000000004</v>
      </c>
      <c r="V113" s="253"/>
      <c r="W113" s="254">
        <v>500</v>
      </c>
      <c r="X113" s="253">
        <f t="shared" si="218"/>
        <v>4321.490000000001</v>
      </c>
      <c r="Y113" s="254">
        <v>12000</v>
      </c>
      <c r="Z113" s="255">
        <f t="shared" si="219"/>
        <v>71957.88</v>
      </c>
      <c r="AA113" s="232">
        <f t="shared" si="220"/>
        <v>184.8</v>
      </c>
      <c r="AB113" s="232">
        <f t="shared" si="221"/>
        <v>46.2</v>
      </c>
      <c r="AC113" s="232">
        <f t="shared" si="222"/>
        <v>11.55</v>
      </c>
      <c r="AD113" s="232">
        <f t="shared" si="223"/>
        <v>242.55</v>
      </c>
      <c r="AE113" s="232">
        <f t="shared" si="224"/>
        <v>290.05</v>
      </c>
      <c r="AF113" s="232">
        <f t="shared" si="225"/>
        <v>72.51</v>
      </c>
      <c r="AG113" s="232">
        <f t="shared" si="226"/>
        <v>18.13</v>
      </c>
      <c r="AH113" s="232">
        <f t="shared" si="227"/>
        <v>380.69</v>
      </c>
      <c r="AI113" s="232">
        <f t="shared" si="228"/>
        <v>138.14</v>
      </c>
      <c r="AJ113" s="232"/>
      <c r="AK113" s="245"/>
      <c r="AL113" s="178"/>
      <c r="AM113" s="178"/>
      <c r="AN113" s="178"/>
    </row>
    <row r="114" spans="1:40" s="176" customFormat="1" ht="13.5" hidden="1">
      <c r="A114" s="186">
        <v>29</v>
      </c>
      <c r="B114" s="186"/>
      <c r="C114" s="193" t="s">
        <v>180</v>
      </c>
      <c r="D114" s="193" t="s">
        <v>57</v>
      </c>
      <c r="E114" s="249">
        <v>3000</v>
      </c>
      <c r="F114" s="250">
        <v>270</v>
      </c>
      <c r="G114" s="250">
        <v>160</v>
      </c>
      <c r="H114" s="250"/>
      <c r="I114" s="250"/>
      <c r="J114" s="250">
        <v>264</v>
      </c>
      <c r="K114" s="195"/>
      <c r="L114" s="195"/>
      <c r="M114" s="218">
        <f t="shared" si="210"/>
        <v>3694</v>
      </c>
      <c r="N114" s="216">
        <f t="shared" si="211"/>
        <v>3430</v>
      </c>
      <c r="O114" s="251">
        <f t="shared" si="212"/>
        <v>580.1</v>
      </c>
      <c r="P114" s="251">
        <f t="shared" si="213"/>
        <v>308.18</v>
      </c>
      <c r="Q114" s="251">
        <f t="shared" si="214"/>
        <v>18.13</v>
      </c>
      <c r="R114" s="251">
        <f t="shared" si="215"/>
        <v>11.6</v>
      </c>
      <c r="S114" s="251"/>
      <c r="T114" s="252">
        <f t="shared" si="229"/>
        <v>412</v>
      </c>
      <c r="U114" s="253">
        <f t="shared" si="217"/>
        <v>73.88</v>
      </c>
      <c r="V114" s="253"/>
      <c r="W114" s="254">
        <v>700</v>
      </c>
      <c r="X114" s="253">
        <f t="shared" si="218"/>
        <v>5797.890000000001</v>
      </c>
      <c r="Y114" s="254">
        <v>16000</v>
      </c>
      <c r="Z114" s="255">
        <f t="shared" si="219"/>
        <v>96074.68000000002</v>
      </c>
      <c r="AA114" s="232">
        <f t="shared" si="220"/>
        <v>274.4</v>
      </c>
      <c r="AB114" s="232">
        <f t="shared" si="221"/>
        <v>68.6</v>
      </c>
      <c r="AC114" s="232">
        <f t="shared" si="222"/>
        <v>17.15</v>
      </c>
      <c r="AD114" s="232">
        <f t="shared" si="223"/>
        <v>360.15</v>
      </c>
      <c r="AE114" s="232">
        <f t="shared" si="224"/>
        <v>290.05</v>
      </c>
      <c r="AF114" s="232">
        <f t="shared" si="225"/>
        <v>72.51</v>
      </c>
      <c r="AG114" s="232">
        <f t="shared" si="226"/>
        <v>18.13</v>
      </c>
      <c r="AH114" s="232">
        <f t="shared" si="227"/>
        <v>380.69</v>
      </c>
      <c r="AI114" s="232">
        <f t="shared" si="228"/>
        <v>20.54000000000002</v>
      </c>
      <c r="AJ114" s="232"/>
      <c r="AK114" s="245"/>
      <c r="AL114" s="178"/>
      <c r="AM114" s="178"/>
      <c r="AN114" s="178"/>
    </row>
    <row r="115" spans="1:40" s="176" customFormat="1" ht="13.5" hidden="1">
      <c r="A115" s="186">
        <v>30</v>
      </c>
      <c r="B115" s="186"/>
      <c r="C115" s="193" t="s">
        <v>181</v>
      </c>
      <c r="D115" s="193" t="s">
        <v>182</v>
      </c>
      <c r="E115" s="249">
        <v>1900</v>
      </c>
      <c r="F115" s="250">
        <v>410</v>
      </c>
      <c r="G115" s="250">
        <v>110</v>
      </c>
      <c r="H115" s="250"/>
      <c r="I115" s="250"/>
      <c r="J115" s="250">
        <v>264</v>
      </c>
      <c r="K115" s="195"/>
      <c r="L115" s="195"/>
      <c r="M115" s="218">
        <f t="shared" si="210"/>
        <v>2684</v>
      </c>
      <c r="N115" s="216">
        <f t="shared" si="211"/>
        <v>2420</v>
      </c>
      <c r="O115" s="251">
        <f t="shared" si="212"/>
        <v>580.1</v>
      </c>
      <c r="P115" s="251">
        <f t="shared" si="213"/>
        <v>308.18</v>
      </c>
      <c r="Q115" s="251">
        <f t="shared" si="214"/>
        <v>18.13</v>
      </c>
      <c r="R115" s="251">
        <f t="shared" si="215"/>
        <v>11.6</v>
      </c>
      <c r="S115" s="251"/>
      <c r="T115" s="252">
        <f t="shared" si="229"/>
        <v>291</v>
      </c>
      <c r="U115" s="253">
        <f t="shared" si="217"/>
        <v>53.68</v>
      </c>
      <c r="V115" s="253"/>
      <c r="W115" s="254">
        <v>500</v>
      </c>
      <c r="X115" s="253">
        <f t="shared" si="218"/>
        <v>4446.690000000001</v>
      </c>
      <c r="Y115" s="254">
        <v>12000</v>
      </c>
      <c r="Z115" s="255">
        <f t="shared" si="219"/>
        <v>73460.28000000001</v>
      </c>
      <c r="AA115" s="232">
        <f t="shared" si="220"/>
        <v>193.6</v>
      </c>
      <c r="AB115" s="232">
        <f t="shared" si="221"/>
        <v>48.4</v>
      </c>
      <c r="AC115" s="232">
        <f t="shared" si="222"/>
        <v>12.1</v>
      </c>
      <c r="AD115" s="232">
        <f t="shared" si="223"/>
        <v>254.1</v>
      </c>
      <c r="AE115" s="232">
        <f t="shared" si="224"/>
        <v>290.05</v>
      </c>
      <c r="AF115" s="232">
        <f t="shared" si="225"/>
        <v>72.51</v>
      </c>
      <c r="AG115" s="232">
        <f t="shared" si="226"/>
        <v>18.13</v>
      </c>
      <c r="AH115" s="232">
        <f t="shared" si="227"/>
        <v>380.69</v>
      </c>
      <c r="AI115" s="232">
        <f t="shared" si="228"/>
        <v>126.59</v>
      </c>
      <c r="AJ115" s="232"/>
      <c r="AK115" s="245"/>
      <c r="AL115" s="178"/>
      <c r="AM115" s="178"/>
      <c r="AN115" s="178"/>
    </row>
    <row r="116" spans="1:40" s="176" customFormat="1" ht="13.5" hidden="1">
      <c r="A116" s="186">
        <v>31</v>
      </c>
      <c r="B116" s="186"/>
      <c r="C116" s="193" t="s">
        <v>183</v>
      </c>
      <c r="D116" s="193" t="s">
        <v>184</v>
      </c>
      <c r="E116" s="249">
        <v>2300</v>
      </c>
      <c r="F116" s="250">
        <v>410</v>
      </c>
      <c r="G116" s="250">
        <v>310</v>
      </c>
      <c r="H116" s="250"/>
      <c r="I116" s="250"/>
      <c r="J116" s="250">
        <v>264</v>
      </c>
      <c r="K116" s="195"/>
      <c r="L116" s="195"/>
      <c r="M116" s="218">
        <f t="shared" si="210"/>
        <v>3284</v>
      </c>
      <c r="N116" s="216">
        <f t="shared" si="211"/>
        <v>3020</v>
      </c>
      <c r="O116" s="251">
        <f t="shared" si="212"/>
        <v>580.1</v>
      </c>
      <c r="P116" s="251">
        <f t="shared" si="213"/>
        <v>308.18</v>
      </c>
      <c r="Q116" s="251">
        <f t="shared" si="214"/>
        <v>18.13</v>
      </c>
      <c r="R116" s="251">
        <f t="shared" si="215"/>
        <v>11.6</v>
      </c>
      <c r="S116" s="251"/>
      <c r="T116" s="252">
        <f t="shared" si="229"/>
        <v>363</v>
      </c>
      <c r="U116" s="253">
        <f t="shared" si="217"/>
        <v>65.68</v>
      </c>
      <c r="V116" s="253"/>
      <c r="W116" s="254">
        <v>500</v>
      </c>
      <c r="X116" s="253">
        <f t="shared" si="218"/>
        <v>5130.690000000001</v>
      </c>
      <c r="Y116" s="254">
        <v>12000</v>
      </c>
      <c r="Z116" s="255">
        <f t="shared" si="219"/>
        <v>81668.28000000001</v>
      </c>
      <c r="AA116" s="232">
        <f t="shared" si="220"/>
        <v>241.6</v>
      </c>
      <c r="AB116" s="232">
        <f t="shared" si="221"/>
        <v>60.4</v>
      </c>
      <c r="AC116" s="232">
        <f t="shared" si="222"/>
        <v>15.1</v>
      </c>
      <c r="AD116" s="232">
        <f t="shared" si="223"/>
        <v>317.1</v>
      </c>
      <c r="AE116" s="232">
        <f t="shared" si="224"/>
        <v>290.05</v>
      </c>
      <c r="AF116" s="232">
        <f t="shared" si="225"/>
        <v>72.51</v>
      </c>
      <c r="AG116" s="232">
        <f t="shared" si="226"/>
        <v>18.13</v>
      </c>
      <c r="AH116" s="232">
        <f t="shared" si="227"/>
        <v>380.69</v>
      </c>
      <c r="AI116" s="232">
        <f t="shared" si="228"/>
        <v>63.589999999999975</v>
      </c>
      <c r="AJ116" s="232"/>
      <c r="AK116" s="245"/>
      <c r="AL116" s="178"/>
      <c r="AM116" s="178"/>
      <c r="AN116" s="178"/>
    </row>
    <row r="117" spans="1:40" s="176" customFormat="1" ht="13.5" hidden="1">
      <c r="A117" s="186">
        <v>32</v>
      </c>
      <c r="B117" s="186"/>
      <c r="C117" s="193" t="s">
        <v>185</v>
      </c>
      <c r="D117" s="193" t="s">
        <v>184</v>
      </c>
      <c r="E117" s="249">
        <v>2300</v>
      </c>
      <c r="F117" s="250">
        <v>410</v>
      </c>
      <c r="G117" s="250">
        <v>40</v>
      </c>
      <c r="H117" s="250"/>
      <c r="I117" s="250"/>
      <c r="J117" s="250">
        <v>264</v>
      </c>
      <c r="K117" s="195"/>
      <c r="L117" s="195"/>
      <c r="M117" s="218">
        <f t="shared" si="210"/>
        <v>3014</v>
      </c>
      <c r="N117" s="216">
        <f t="shared" si="211"/>
        <v>2750</v>
      </c>
      <c r="O117" s="251">
        <f t="shared" si="212"/>
        <v>580.1</v>
      </c>
      <c r="P117" s="251">
        <f t="shared" si="213"/>
        <v>308.18</v>
      </c>
      <c r="Q117" s="251">
        <f t="shared" si="214"/>
        <v>18.13</v>
      </c>
      <c r="R117" s="251">
        <f t="shared" si="215"/>
        <v>11.6</v>
      </c>
      <c r="S117" s="251"/>
      <c r="T117" s="252">
        <f t="shared" si="229"/>
        <v>330</v>
      </c>
      <c r="U117" s="253">
        <f t="shared" si="217"/>
        <v>60.28</v>
      </c>
      <c r="V117" s="253"/>
      <c r="W117" s="254">
        <v>500</v>
      </c>
      <c r="X117" s="253">
        <f t="shared" si="218"/>
        <v>4822.290000000001</v>
      </c>
      <c r="Y117" s="254">
        <v>12000</v>
      </c>
      <c r="Z117" s="255">
        <f t="shared" si="219"/>
        <v>77967.48000000001</v>
      </c>
      <c r="AA117" s="232">
        <f t="shared" si="220"/>
        <v>220</v>
      </c>
      <c r="AB117" s="232">
        <f t="shared" si="221"/>
        <v>55</v>
      </c>
      <c r="AC117" s="232">
        <f t="shared" si="222"/>
        <v>13.75</v>
      </c>
      <c r="AD117" s="232">
        <f t="shared" si="223"/>
        <v>288.75</v>
      </c>
      <c r="AE117" s="232">
        <f t="shared" si="224"/>
        <v>290.05</v>
      </c>
      <c r="AF117" s="232">
        <f t="shared" si="225"/>
        <v>72.51</v>
      </c>
      <c r="AG117" s="232">
        <f t="shared" si="226"/>
        <v>18.13</v>
      </c>
      <c r="AH117" s="232">
        <f t="shared" si="227"/>
        <v>380.69</v>
      </c>
      <c r="AI117" s="232">
        <f t="shared" si="228"/>
        <v>91.94</v>
      </c>
      <c r="AJ117" s="232"/>
      <c r="AK117" s="245"/>
      <c r="AL117" s="178"/>
      <c r="AM117" s="178"/>
      <c r="AN117" s="178"/>
    </row>
    <row r="118" spans="1:40" s="176" customFormat="1" ht="13.5" hidden="1">
      <c r="A118" s="186">
        <v>33</v>
      </c>
      <c r="B118" s="186"/>
      <c r="C118" s="193" t="s">
        <v>186</v>
      </c>
      <c r="D118" s="193" t="s">
        <v>95</v>
      </c>
      <c r="E118" s="249">
        <v>3200</v>
      </c>
      <c r="F118" s="250">
        <v>330</v>
      </c>
      <c r="G118" s="250">
        <v>40</v>
      </c>
      <c r="H118" s="250"/>
      <c r="I118" s="250"/>
      <c r="J118" s="250">
        <v>264</v>
      </c>
      <c r="K118" s="195"/>
      <c r="L118" s="195"/>
      <c r="M118" s="218">
        <f t="shared" si="210"/>
        <v>3834</v>
      </c>
      <c r="N118" s="216">
        <f t="shared" si="211"/>
        <v>3570</v>
      </c>
      <c r="O118" s="251">
        <f t="shared" si="212"/>
        <v>580.1</v>
      </c>
      <c r="P118" s="251">
        <f t="shared" si="213"/>
        <v>308.18</v>
      </c>
      <c r="Q118" s="251">
        <f t="shared" si="214"/>
        <v>18.13</v>
      </c>
      <c r="R118" s="251">
        <f t="shared" si="215"/>
        <v>11.6</v>
      </c>
      <c r="S118" s="251"/>
      <c r="T118" s="252">
        <f t="shared" si="229"/>
        <v>429</v>
      </c>
      <c r="U118" s="253">
        <f t="shared" si="217"/>
        <v>76.68</v>
      </c>
      <c r="V118" s="253"/>
      <c r="W118" s="254">
        <v>800</v>
      </c>
      <c r="X118" s="253">
        <f t="shared" si="218"/>
        <v>6057.6900000000005</v>
      </c>
      <c r="Y118" s="254">
        <v>18000</v>
      </c>
      <c r="Z118" s="255">
        <f t="shared" si="219"/>
        <v>102392.28</v>
      </c>
      <c r="AA118" s="232">
        <f t="shared" si="220"/>
        <v>285.6</v>
      </c>
      <c r="AB118" s="232">
        <f t="shared" si="221"/>
        <v>71.4</v>
      </c>
      <c r="AC118" s="232">
        <f t="shared" si="222"/>
        <v>17.85</v>
      </c>
      <c r="AD118" s="232">
        <f t="shared" si="223"/>
        <v>374.85</v>
      </c>
      <c r="AE118" s="232">
        <f t="shared" si="224"/>
        <v>290.05</v>
      </c>
      <c r="AF118" s="232">
        <f t="shared" si="225"/>
        <v>72.51</v>
      </c>
      <c r="AG118" s="232">
        <f t="shared" si="226"/>
        <v>18.13</v>
      </c>
      <c r="AH118" s="232">
        <f t="shared" si="227"/>
        <v>380.69</v>
      </c>
      <c r="AI118" s="232">
        <f t="shared" si="228"/>
        <v>5.839999999999975</v>
      </c>
      <c r="AJ118" s="232"/>
      <c r="AK118" s="245"/>
      <c r="AL118" s="178"/>
      <c r="AM118" s="178"/>
      <c r="AN118" s="178"/>
    </row>
    <row r="119" spans="1:40" s="176" customFormat="1" ht="13.5" hidden="1">
      <c r="A119" s="186">
        <v>34</v>
      </c>
      <c r="B119" s="186"/>
      <c r="C119" s="193" t="s">
        <v>187</v>
      </c>
      <c r="D119" s="193" t="s">
        <v>149</v>
      </c>
      <c r="E119" s="249">
        <v>2500</v>
      </c>
      <c r="F119" s="250">
        <v>240</v>
      </c>
      <c r="G119" s="250">
        <v>50</v>
      </c>
      <c r="H119" s="250"/>
      <c r="I119" s="250"/>
      <c r="J119" s="250">
        <v>264</v>
      </c>
      <c r="K119" s="195"/>
      <c r="L119" s="195"/>
      <c r="M119" s="218">
        <f t="shared" si="210"/>
        <v>3054</v>
      </c>
      <c r="N119" s="216">
        <f t="shared" si="211"/>
        <v>2790</v>
      </c>
      <c r="O119" s="251">
        <f t="shared" si="212"/>
        <v>580.1</v>
      </c>
      <c r="P119" s="251">
        <f t="shared" si="213"/>
        <v>308.18</v>
      </c>
      <c r="Q119" s="251">
        <f t="shared" si="214"/>
        <v>18.13</v>
      </c>
      <c r="R119" s="251">
        <f t="shared" si="215"/>
        <v>11.6</v>
      </c>
      <c r="S119" s="251"/>
      <c r="T119" s="252">
        <f t="shared" si="229"/>
        <v>335</v>
      </c>
      <c r="U119" s="253">
        <f t="shared" si="217"/>
        <v>61.08</v>
      </c>
      <c r="V119" s="253"/>
      <c r="W119" s="254">
        <v>600</v>
      </c>
      <c r="X119" s="253">
        <f t="shared" si="218"/>
        <v>4968.090000000001</v>
      </c>
      <c r="Y119" s="254">
        <v>14000</v>
      </c>
      <c r="Z119" s="255">
        <f t="shared" si="219"/>
        <v>82917.08000000002</v>
      </c>
      <c r="AA119" s="232">
        <f t="shared" si="220"/>
        <v>223.2</v>
      </c>
      <c r="AB119" s="232">
        <f t="shared" si="221"/>
        <v>55.8</v>
      </c>
      <c r="AC119" s="232">
        <f t="shared" si="222"/>
        <v>13.95</v>
      </c>
      <c r="AD119" s="232">
        <f t="shared" si="223"/>
        <v>292.95</v>
      </c>
      <c r="AE119" s="232">
        <f t="shared" si="224"/>
        <v>290.05</v>
      </c>
      <c r="AF119" s="232">
        <f t="shared" si="225"/>
        <v>72.51</v>
      </c>
      <c r="AG119" s="232">
        <f t="shared" si="226"/>
        <v>18.13</v>
      </c>
      <c r="AH119" s="232">
        <f t="shared" si="227"/>
        <v>380.69</v>
      </c>
      <c r="AI119" s="232">
        <f t="shared" si="228"/>
        <v>87.74000000000001</v>
      </c>
      <c r="AJ119" s="232"/>
      <c r="AK119" s="245"/>
      <c r="AL119" s="178"/>
      <c r="AM119" s="178"/>
      <c r="AN119" s="178"/>
    </row>
    <row r="120" spans="1:40" s="176" customFormat="1" ht="13.5" hidden="1">
      <c r="A120" s="186">
        <v>35</v>
      </c>
      <c r="B120" s="186"/>
      <c r="C120" s="193" t="s">
        <v>188</v>
      </c>
      <c r="D120" s="193" t="s">
        <v>58</v>
      </c>
      <c r="E120" s="249">
        <v>2500</v>
      </c>
      <c r="F120" s="250">
        <v>240</v>
      </c>
      <c r="G120" s="250">
        <v>50</v>
      </c>
      <c r="H120" s="250"/>
      <c r="I120" s="250"/>
      <c r="J120" s="250">
        <v>264</v>
      </c>
      <c r="K120" s="195"/>
      <c r="L120" s="195"/>
      <c r="M120" s="218">
        <f t="shared" si="210"/>
        <v>3054</v>
      </c>
      <c r="N120" s="216">
        <f t="shared" si="211"/>
        <v>2790</v>
      </c>
      <c r="O120" s="251">
        <f t="shared" si="212"/>
        <v>580.1</v>
      </c>
      <c r="P120" s="251">
        <f t="shared" si="213"/>
        <v>308.18</v>
      </c>
      <c r="Q120" s="251">
        <f t="shared" si="214"/>
        <v>18.13</v>
      </c>
      <c r="R120" s="251">
        <f t="shared" si="215"/>
        <v>11.6</v>
      </c>
      <c r="S120" s="251"/>
      <c r="T120" s="252">
        <f t="shared" si="229"/>
        <v>335</v>
      </c>
      <c r="U120" s="253">
        <f t="shared" si="217"/>
        <v>61.08</v>
      </c>
      <c r="V120" s="253"/>
      <c r="W120" s="254">
        <v>600</v>
      </c>
      <c r="X120" s="253">
        <f t="shared" si="218"/>
        <v>4968.090000000001</v>
      </c>
      <c r="Y120" s="254">
        <v>14000</v>
      </c>
      <c r="Z120" s="255">
        <f t="shared" si="219"/>
        <v>82917.08000000002</v>
      </c>
      <c r="AA120" s="232">
        <f t="shared" si="220"/>
        <v>223.2</v>
      </c>
      <c r="AB120" s="232">
        <f t="shared" si="221"/>
        <v>55.8</v>
      </c>
      <c r="AC120" s="232">
        <f t="shared" si="222"/>
        <v>13.95</v>
      </c>
      <c r="AD120" s="232">
        <f t="shared" si="223"/>
        <v>292.95</v>
      </c>
      <c r="AE120" s="232">
        <f t="shared" si="224"/>
        <v>290.05</v>
      </c>
      <c r="AF120" s="232">
        <f t="shared" si="225"/>
        <v>72.51</v>
      </c>
      <c r="AG120" s="232">
        <f t="shared" si="226"/>
        <v>18.13</v>
      </c>
      <c r="AH120" s="232">
        <f t="shared" si="227"/>
        <v>380.69</v>
      </c>
      <c r="AI120" s="232">
        <f t="shared" si="228"/>
        <v>87.74000000000001</v>
      </c>
      <c r="AJ120" s="232"/>
      <c r="AK120" s="245"/>
      <c r="AL120" s="178"/>
      <c r="AM120" s="178"/>
      <c r="AN120" s="178"/>
    </row>
    <row r="121" spans="1:40" s="176" customFormat="1" ht="13.5" hidden="1">
      <c r="A121" s="186">
        <v>36</v>
      </c>
      <c r="B121" s="186"/>
      <c r="C121" s="193" t="s">
        <v>189</v>
      </c>
      <c r="D121" s="193" t="s">
        <v>167</v>
      </c>
      <c r="E121" s="249">
        <v>2300</v>
      </c>
      <c r="F121" s="250">
        <v>410</v>
      </c>
      <c r="G121" s="250">
        <v>140</v>
      </c>
      <c r="H121" s="250"/>
      <c r="I121" s="250"/>
      <c r="J121" s="250">
        <v>264</v>
      </c>
      <c r="K121" s="195"/>
      <c r="L121" s="195"/>
      <c r="M121" s="218">
        <f t="shared" si="210"/>
        <v>3114</v>
      </c>
      <c r="N121" s="216">
        <f t="shared" si="211"/>
        <v>2850</v>
      </c>
      <c r="O121" s="251">
        <f t="shared" si="212"/>
        <v>580.1</v>
      </c>
      <c r="P121" s="251">
        <f t="shared" si="213"/>
        <v>308.18</v>
      </c>
      <c r="Q121" s="251">
        <f t="shared" si="214"/>
        <v>18.13</v>
      </c>
      <c r="R121" s="251">
        <f t="shared" si="215"/>
        <v>11.6</v>
      </c>
      <c r="S121" s="251"/>
      <c r="T121" s="252">
        <f t="shared" si="229"/>
        <v>342</v>
      </c>
      <c r="U121" s="253">
        <f t="shared" si="217"/>
        <v>62.28</v>
      </c>
      <c r="V121" s="253"/>
      <c r="W121" s="254">
        <v>500</v>
      </c>
      <c r="X121" s="253">
        <f t="shared" si="218"/>
        <v>4936.290000000001</v>
      </c>
      <c r="Y121" s="254">
        <v>12000</v>
      </c>
      <c r="Z121" s="255">
        <f t="shared" si="219"/>
        <v>79335.48000000001</v>
      </c>
      <c r="AA121" s="232">
        <f t="shared" si="220"/>
        <v>228</v>
      </c>
      <c r="AB121" s="232">
        <f t="shared" si="221"/>
        <v>57</v>
      </c>
      <c r="AC121" s="232">
        <f t="shared" si="222"/>
        <v>14.25</v>
      </c>
      <c r="AD121" s="232">
        <f t="shared" si="223"/>
        <v>299.25</v>
      </c>
      <c r="AE121" s="232">
        <f t="shared" si="224"/>
        <v>290.05</v>
      </c>
      <c r="AF121" s="232">
        <f t="shared" si="225"/>
        <v>72.51</v>
      </c>
      <c r="AG121" s="232">
        <f t="shared" si="226"/>
        <v>18.13</v>
      </c>
      <c r="AH121" s="232">
        <f t="shared" si="227"/>
        <v>380.69</v>
      </c>
      <c r="AI121" s="232">
        <f t="shared" si="228"/>
        <v>81.44</v>
      </c>
      <c r="AJ121" s="232"/>
      <c r="AK121" s="245"/>
      <c r="AL121" s="178"/>
      <c r="AM121" s="178"/>
      <c r="AN121" s="178"/>
    </row>
    <row r="122" spans="1:40" s="176" customFormat="1" ht="13.5" hidden="1">
      <c r="A122" s="186">
        <v>37</v>
      </c>
      <c r="B122" s="186"/>
      <c r="C122" s="193" t="s">
        <v>190</v>
      </c>
      <c r="D122" s="193" t="s">
        <v>167</v>
      </c>
      <c r="E122" s="249">
        <v>2300</v>
      </c>
      <c r="F122" s="250">
        <v>410</v>
      </c>
      <c r="G122" s="250">
        <v>50</v>
      </c>
      <c r="H122" s="250"/>
      <c r="I122" s="250"/>
      <c r="J122" s="250">
        <v>264</v>
      </c>
      <c r="K122" s="195"/>
      <c r="L122" s="195"/>
      <c r="M122" s="218">
        <f t="shared" si="210"/>
        <v>3024</v>
      </c>
      <c r="N122" s="216">
        <f t="shared" si="211"/>
        <v>2760</v>
      </c>
      <c r="O122" s="251">
        <f t="shared" si="212"/>
        <v>580.1</v>
      </c>
      <c r="P122" s="251">
        <f t="shared" si="213"/>
        <v>308.18</v>
      </c>
      <c r="Q122" s="251">
        <f t="shared" si="214"/>
        <v>18.13</v>
      </c>
      <c r="R122" s="251">
        <f t="shared" si="215"/>
        <v>11.6</v>
      </c>
      <c r="S122" s="251"/>
      <c r="T122" s="252">
        <f t="shared" si="229"/>
        <v>332</v>
      </c>
      <c r="U122" s="253">
        <f t="shared" si="217"/>
        <v>60.480000000000004</v>
      </c>
      <c r="V122" s="253"/>
      <c r="W122" s="254">
        <v>500</v>
      </c>
      <c r="X122" s="253">
        <f t="shared" si="218"/>
        <v>4834.490000000001</v>
      </c>
      <c r="Y122" s="254">
        <v>12000</v>
      </c>
      <c r="Z122" s="255">
        <f t="shared" si="219"/>
        <v>78113.88</v>
      </c>
      <c r="AA122" s="232">
        <f t="shared" si="220"/>
        <v>220.8</v>
      </c>
      <c r="AB122" s="232">
        <f t="shared" si="221"/>
        <v>55.2</v>
      </c>
      <c r="AC122" s="232">
        <f t="shared" si="222"/>
        <v>13.8</v>
      </c>
      <c r="AD122" s="232">
        <f t="shared" si="223"/>
        <v>289.8</v>
      </c>
      <c r="AE122" s="232">
        <f t="shared" si="224"/>
        <v>290.05</v>
      </c>
      <c r="AF122" s="232">
        <f t="shared" si="225"/>
        <v>72.51</v>
      </c>
      <c r="AG122" s="232">
        <f t="shared" si="226"/>
        <v>18.13</v>
      </c>
      <c r="AH122" s="232">
        <f t="shared" si="227"/>
        <v>380.69</v>
      </c>
      <c r="AI122" s="232">
        <f t="shared" si="228"/>
        <v>90.88999999999999</v>
      </c>
      <c r="AJ122" s="232"/>
      <c r="AK122" s="245"/>
      <c r="AL122" s="178"/>
      <c r="AM122" s="178"/>
      <c r="AN122" s="178"/>
    </row>
    <row r="123" spans="1:40" s="176" customFormat="1" ht="13.5" hidden="1">
      <c r="A123" s="186">
        <v>38</v>
      </c>
      <c r="B123" s="186"/>
      <c r="C123" s="193" t="s">
        <v>191</v>
      </c>
      <c r="D123" s="193" t="s">
        <v>167</v>
      </c>
      <c r="E123" s="249">
        <v>2300</v>
      </c>
      <c r="F123" s="250">
        <v>410</v>
      </c>
      <c r="G123" s="250">
        <v>50</v>
      </c>
      <c r="H123" s="250"/>
      <c r="I123" s="250"/>
      <c r="J123" s="250">
        <v>264</v>
      </c>
      <c r="K123" s="195"/>
      <c r="L123" s="195"/>
      <c r="M123" s="218">
        <f t="shared" si="210"/>
        <v>3024</v>
      </c>
      <c r="N123" s="216">
        <f t="shared" si="211"/>
        <v>2760</v>
      </c>
      <c r="O123" s="251">
        <f t="shared" si="212"/>
        <v>580.1</v>
      </c>
      <c r="P123" s="251">
        <f t="shared" si="213"/>
        <v>308.18</v>
      </c>
      <c r="Q123" s="251">
        <f t="shared" si="214"/>
        <v>18.13</v>
      </c>
      <c r="R123" s="251">
        <f t="shared" si="215"/>
        <v>11.6</v>
      </c>
      <c r="S123" s="251"/>
      <c r="T123" s="252">
        <f t="shared" si="229"/>
        <v>332</v>
      </c>
      <c r="U123" s="253">
        <f t="shared" si="217"/>
        <v>60.480000000000004</v>
      </c>
      <c r="V123" s="253"/>
      <c r="W123" s="254">
        <v>500</v>
      </c>
      <c r="X123" s="253">
        <f t="shared" si="218"/>
        <v>4834.490000000001</v>
      </c>
      <c r="Y123" s="254">
        <v>12000</v>
      </c>
      <c r="Z123" s="255">
        <f t="shared" si="219"/>
        <v>78113.88</v>
      </c>
      <c r="AA123" s="232">
        <f t="shared" si="220"/>
        <v>220.8</v>
      </c>
      <c r="AB123" s="232">
        <f t="shared" si="221"/>
        <v>55.2</v>
      </c>
      <c r="AC123" s="232">
        <f t="shared" si="222"/>
        <v>13.8</v>
      </c>
      <c r="AD123" s="232">
        <f t="shared" si="223"/>
        <v>289.8</v>
      </c>
      <c r="AE123" s="232">
        <f t="shared" si="224"/>
        <v>290.05</v>
      </c>
      <c r="AF123" s="232">
        <f t="shared" si="225"/>
        <v>72.51</v>
      </c>
      <c r="AG123" s="232">
        <f t="shared" si="226"/>
        <v>18.13</v>
      </c>
      <c r="AH123" s="232">
        <f t="shared" si="227"/>
        <v>380.69</v>
      </c>
      <c r="AI123" s="232">
        <f t="shared" si="228"/>
        <v>90.88999999999999</v>
      </c>
      <c r="AJ123" s="232"/>
      <c r="AK123" s="245"/>
      <c r="AL123" s="178"/>
      <c r="AM123" s="178"/>
      <c r="AN123" s="178"/>
    </row>
    <row r="124" spans="1:40" s="176" customFormat="1" ht="13.5" hidden="1">
      <c r="A124" s="186">
        <v>39</v>
      </c>
      <c r="B124" s="186"/>
      <c r="C124" s="193" t="s">
        <v>192</v>
      </c>
      <c r="D124" s="193" t="s">
        <v>167</v>
      </c>
      <c r="E124" s="249">
        <v>2300</v>
      </c>
      <c r="F124" s="250">
        <v>410</v>
      </c>
      <c r="G124" s="250">
        <v>50</v>
      </c>
      <c r="H124" s="250"/>
      <c r="I124" s="250"/>
      <c r="J124" s="250">
        <v>264</v>
      </c>
      <c r="K124" s="195"/>
      <c r="L124" s="195"/>
      <c r="M124" s="218">
        <f t="shared" si="210"/>
        <v>3024</v>
      </c>
      <c r="N124" s="216">
        <f t="shared" si="211"/>
        <v>2760</v>
      </c>
      <c r="O124" s="251">
        <f t="shared" si="212"/>
        <v>580.1</v>
      </c>
      <c r="P124" s="251">
        <f t="shared" si="213"/>
        <v>308.18</v>
      </c>
      <c r="Q124" s="251">
        <f t="shared" si="214"/>
        <v>18.13</v>
      </c>
      <c r="R124" s="251">
        <f t="shared" si="215"/>
        <v>11.6</v>
      </c>
      <c r="S124" s="251"/>
      <c r="T124" s="252">
        <f t="shared" si="229"/>
        <v>332</v>
      </c>
      <c r="U124" s="253">
        <f t="shared" si="217"/>
        <v>60.480000000000004</v>
      </c>
      <c r="V124" s="253"/>
      <c r="W124" s="254">
        <v>500</v>
      </c>
      <c r="X124" s="253">
        <f t="shared" si="218"/>
        <v>4834.490000000001</v>
      </c>
      <c r="Y124" s="254">
        <v>12000</v>
      </c>
      <c r="Z124" s="255">
        <f t="shared" si="219"/>
        <v>78113.88</v>
      </c>
      <c r="AA124" s="232">
        <f t="shared" si="220"/>
        <v>220.8</v>
      </c>
      <c r="AB124" s="232">
        <f t="shared" si="221"/>
        <v>55.2</v>
      </c>
      <c r="AC124" s="232">
        <f t="shared" si="222"/>
        <v>13.8</v>
      </c>
      <c r="AD124" s="232">
        <f t="shared" si="223"/>
        <v>289.8</v>
      </c>
      <c r="AE124" s="232">
        <f t="shared" si="224"/>
        <v>290.05</v>
      </c>
      <c r="AF124" s="232">
        <f t="shared" si="225"/>
        <v>72.51</v>
      </c>
      <c r="AG124" s="232">
        <f t="shared" si="226"/>
        <v>18.13</v>
      </c>
      <c r="AH124" s="232">
        <f t="shared" si="227"/>
        <v>380.69</v>
      </c>
      <c r="AI124" s="232">
        <f t="shared" si="228"/>
        <v>90.88999999999999</v>
      </c>
      <c r="AJ124" s="232"/>
      <c r="AK124" s="245"/>
      <c r="AL124" s="178"/>
      <c r="AM124" s="178"/>
      <c r="AN124" s="178"/>
    </row>
    <row r="125" spans="1:40" s="176" customFormat="1" ht="13.5" hidden="1">
      <c r="A125" s="186">
        <v>40</v>
      </c>
      <c r="B125" s="186"/>
      <c r="C125" s="193" t="s">
        <v>193</v>
      </c>
      <c r="D125" s="193" t="s">
        <v>194</v>
      </c>
      <c r="E125" s="249">
        <v>1800</v>
      </c>
      <c r="F125" s="250">
        <v>410</v>
      </c>
      <c r="G125" s="250">
        <v>160</v>
      </c>
      <c r="H125" s="250"/>
      <c r="I125" s="250"/>
      <c r="J125" s="250">
        <v>264</v>
      </c>
      <c r="K125" s="195"/>
      <c r="L125" s="195"/>
      <c r="M125" s="218">
        <f t="shared" si="210"/>
        <v>2634</v>
      </c>
      <c r="N125" s="216">
        <f t="shared" si="211"/>
        <v>2370</v>
      </c>
      <c r="O125" s="251">
        <f t="shared" si="212"/>
        <v>580.1</v>
      </c>
      <c r="P125" s="251">
        <f t="shared" si="213"/>
        <v>308.18</v>
      </c>
      <c r="Q125" s="251">
        <f t="shared" si="214"/>
        <v>18.13</v>
      </c>
      <c r="R125" s="251">
        <f t="shared" si="215"/>
        <v>11.6</v>
      </c>
      <c r="S125" s="251"/>
      <c r="T125" s="252">
        <f t="shared" si="229"/>
        <v>285</v>
      </c>
      <c r="U125" s="253">
        <f t="shared" si="217"/>
        <v>52.68</v>
      </c>
      <c r="V125" s="253"/>
      <c r="W125" s="254">
        <v>500</v>
      </c>
      <c r="X125" s="253">
        <f t="shared" si="218"/>
        <v>4389.690000000001</v>
      </c>
      <c r="Y125" s="254">
        <v>12000</v>
      </c>
      <c r="Z125" s="255">
        <f t="shared" si="219"/>
        <v>72776.28000000001</v>
      </c>
      <c r="AA125" s="232">
        <f t="shared" si="220"/>
        <v>189.6</v>
      </c>
      <c r="AB125" s="232">
        <f t="shared" si="221"/>
        <v>47.4</v>
      </c>
      <c r="AC125" s="232">
        <f t="shared" si="222"/>
        <v>11.85</v>
      </c>
      <c r="AD125" s="232">
        <f t="shared" si="223"/>
        <v>248.85</v>
      </c>
      <c r="AE125" s="232">
        <f t="shared" si="224"/>
        <v>290.05</v>
      </c>
      <c r="AF125" s="232">
        <f t="shared" si="225"/>
        <v>72.51</v>
      </c>
      <c r="AG125" s="232">
        <f t="shared" si="226"/>
        <v>18.13</v>
      </c>
      <c r="AH125" s="232">
        <f t="shared" si="227"/>
        <v>380.69</v>
      </c>
      <c r="AI125" s="232">
        <f t="shared" si="228"/>
        <v>131.84</v>
      </c>
      <c r="AJ125" s="232"/>
      <c r="AK125" s="245"/>
      <c r="AL125" s="178"/>
      <c r="AM125" s="178"/>
      <c r="AN125" s="178"/>
    </row>
    <row r="126" spans="1:40" s="176" customFormat="1" ht="13.5" hidden="1">
      <c r="A126" s="186">
        <v>41</v>
      </c>
      <c r="B126" s="186"/>
      <c r="C126" s="193" t="s">
        <v>195</v>
      </c>
      <c r="D126" s="193" t="s">
        <v>194</v>
      </c>
      <c r="E126" s="249">
        <v>1800</v>
      </c>
      <c r="F126" s="250">
        <v>410</v>
      </c>
      <c r="G126" s="250">
        <v>170</v>
      </c>
      <c r="H126" s="250"/>
      <c r="I126" s="250"/>
      <c r="J126" s="250">
        <v>264</v>
      </c>
      <c r="K126" s="195"/>
      <c r="L126" s="195"/>
      <c r="M126" s="218">
        <f t="shared" si="210"/>
        <v>2644</v>
      </c>
      <c r="N126" s="216">
        <f t="shared" si="211"/>
        <v>2380</v>
      </c>
      <c r="O126" s="251">
        <f t="shared" si="212"/>
        <v>580.1</v>
      </c>
      <c r="P126" s="251">
        <f t="shared" si="213"/>
        <v>308.18</v>
      </c>
      <c r="Q126" s="251">
        <f t="shared" si="214"/>
        <v>18.13</v>
      </c>
      <c r="R126" s="251">
        <f t="shared" si="215"/>
        <v>11.6</v>
      </c>
      <c r="S126" s="251"/>
      <c r="T126" s="252">
        <f t="shared" si="229"/>
        <v>286</v>
      </c>
      <c r="U126" s="253">
        <f t="shared" si="217"/>
        <v>52.88</v>
      </c>
      <c r="V126" s="253"/>
      <c r="W126" s="254">
        <v>500</v>
      </c>
      <c r="X126" s="253">
        <f t="shared" si="218"/>
        <v>4400.890000000001</v>
      </c>
      <c r="Y126" s="254">
        <v>12000</v>
      </c>
      <c r="Z126" s="255">
        <f t="shared" si="219"/>
        <v>72910.68000000002</v>
      </c>
      <c r="AA126" s="232">
        <f t="shared" si="220"/>
        <v>190.4</v>
      </c>
      <c r="AB126" s="232">
        <f t="shared" si="221"/>
        <v>47.6</v>
      </c>
      <c r="AC126" s="232">
        <f t="shared" si="222"/>
        <v>11.9</v>
      </c>
      <c r="AD126" s="232">
        <f t="shared" si="223"/>
        <v>249.9</v>
      </c>
      <c r="AE126" s="232">
        <f t="shared" si="224"/>
        <v>290.05</v>
      </c>
      <c r="AF126" s="232">
        <f t="shared" si="225"/>
        <v>72.51</v>
      </c>
      <c r="AG126" s="232">
        <f t="shared" si="226"/>
        <v>18.13</v>
      </c>
      <c r="AH126" s="232">
        <f t="shared" si="227"/>
        <v>380.69</v>
      </c>
      <c r="AI126" s="232">
        <f t="shared" si="228"/>
        <v>130.79</v>
      </c>
      <c r="AJ126" s="232"/>
      <c r="AK126" s="245"/>
      <c r="AL126" s="178"/>
      <c r="AM126" s="178"/>
      <c r="AN126" s="178"/>
    </row>
    <row r="127" spans="1:40" s="176" customFormat="1" ht="13.5" hidden="1">
      <c r="A127" s="186">
        <v>42</v>
      </c>
      <c r="B127" s="186"/>
      <c r="C127" s="193" t="s">
        <v>196</v>
      </c>
      <c r="D127" s="193" t="s">
        <v>194</v>
      </c>
      <c r="E127" s="249">
        <v>1800</v>
      </c>
      <c r="F127" s="250">
        <v>410</v>
      </c>
      <c r="G127" s="250">
        <v>170</v>
      </c>
      <c r="H127" s="250"/>
      <c r="I127" s="250"/>
      <c r="J127" s="250">
        <v>264</v>
      </c>
      <c r="K127" s="195"/>
      <c r="L127" s="195"/>
      <c r="M127" s="218">
        <f t="shared" si="210"/>
        <v>2644</v>
      </c>
      <c r="N127" s="216">
        <f t="shared" si="211"/>
        <v>2380</v>
      </c>
      <c r="O127" s="251">
        <f t="shared" si="212"/>
        <v>580.1</v>
      </c>
      <c r="P127" s="251">
        <f t="shared" si="213"/>
        <v>308.18</v>
      </c>
      <c r="Q127" s="251">
        <f t="shared" si="214"/>
        <v>18.13</v>
      </c>
      <c r="R127" s="251">
        <f t="shared" si="215"/>
        <v>11.6</v>
      </c>
      <c r="S127" s="251"/>
      <c r="T127" s="252">
        <f t="shared" si="229"/>
        <v>286</v>
      </c>
      <c r="U127" s="253">
        <f t="shared" si="217"/>
        <v>52.88</v>
      </c>
      <c r="V127" s="253"/>
      <c r="W127" s="254">
        <v>500</v>
      </c>
      <c r="X127" s="253">
        <f t="shared" si="218"/>
        <v>4400.890000000001</v>
      </c>
      <c r="Y127" s="254">
        <v>12000</v>
      </c>
      <c r="Z127" s="255">
        <f t="shared" si="219"/>
        <v>72910.68000000002</v>
      </c>
      <c r="AA127" s="232">
        <f t="shared" si="220"/>
        <v>190.4</v>
      </c>
      <c r="AB127" s="232">
        <f t="shared" si="221"/>
        <v>47.6</v>
      </c>
      <c r="AC127" s="232">
        <f t="shared" si="222"/>
        <v>11.9</v>
      </c>
      <c r="AD127" s="232">
        <f t="shared" si="223"/>
        <v>249.9</v>
      </c>
      <c r="AE127" s="232">
        <f t="shared" si="224"/>
        <v>290.05</v>
      </c>
      <c r="AF127" s="232">
        <f t="shared" si="225"/>
        <v>72.51</v>
      </c>
      <c r="AG127" s="232">
        <f t="shared" si="226"/>
        <v>18.13</v>
      </c>
      <c r="AH127" s="232">
        <f t="shared" si="227"/>
        <v>380.69</v>
      </c>
      <c r="AI127" s="232">
        <f t="shared" si="228"/>
        <v>130.79</v>
      </c>
      <c r="AJ127" s="232"/>
      <c r="AK127" s="245"/>
      <c r="AL127" s="178"/>
      <c r="AM127" s="178"/>
      <c r="AN127" s="178"/>
    </row>
    <row r="128" spans="1:40" s="176" customFormat="1" ht="13.5" hidden="1">
      <c r="A128" s="186">
        <v>43</v>
      </c>
      <c r="B128" s="186"/>
      <c r="C128" s="193" t="s">
        <v>197</v>
      </c>
      <c r="D128" s="193" t="s">
        <v>194</v>
      </c>
      <c r="E128" s="249">
        <v>1800</v>
      </c>
      <c r="F128" s="250">
        <v>410</v>
      </c>
      <c r="G128" s="250">
        <v>130</v>
      </c>
      <c r="H128" s="250"/>
      <c r="I128" s="250"/>
      <c r="J128" s="250">
        <v>264</v>
      </c>
      <c r="K128" s="195"/>
      <c r="L128" s="195"/>
      <c r="M128" s="218">
        <f t="shared" si="210"/>
        <v>2604</v>
      </c>
      <c r="N128" s="216">
        <f t="shared" si="211"/>
        <v>2340</v>
      </c>
      <c r="O128" s="251">
        <f t="shared" si="212"/>
        <v>580.1</v>
      </c>
      <c r="P128" s="251">
        <f t="shared" si="213"/>
        <v>308.18</v>
      </c>
      <c r="Q128" s="251">
        <f t="shared" si="214"/>
        <v>18.13</v>
      </c>
      <c r="R128" s="251">
        <f t="shared" si="215"/>
        <v>11.6</v>
      </c>
      <c r="S128" s="251"/>
      <c r="T128" s="252">
        <f t="shared" si="229"/>
        <v>281</v>
      </c>
      <c r="U128" s="253">
        <f t="shared" si="217"/>
        <v>52.08</v>
      </c>
      <c r="V128" s="253"/>
      <c r="W128" s="254">
        <v>500</v>
      </c>
      <c r="X128" s="253">
        <f t="shared" si="218"/>
        <v>4355.090000000001</v>
      </c>
      <c r="Y128" s="254">
        <v>12000</v>
      </c>
      <c r="Z128" s="255">
        <f t="shared" si="219"/>
        <v>72361.08000000002</v>
      </c>
      <c r="AA128" s="232">
        <f t="shared" si="220"/>
        <v>187.2</v>
      </c>
      <c r="AB128" s="232">
        <f t="shared" si="221"/>
        <v>46.8</v>
      </c>
      <c r="AC128" s="232">
        <f t="shared" si="222"/>
        <v>11.7</v>
      </c>
      <c r="AD128" s="232">
        <f t="shared" si="223"/>
        <v>245.7</v>
      </c>
      <c r="AE128" s="232">
        <f t="shared" si="224"/>
        <v>290.05</v>
      </c>
      <c r="AF128" s="232">
        <f t="shared" si="225"/>
        <v>72.51</v>
      </c>
      <c r="AG128" s="232">
        <f t="shared" si="226"/>
        <v>18.13</v>
      </c>
      <c r="AH128" s="232">
        <f t="shared" si="227"/>
        <v>380.69</v>
      </c>
      <c r="AI128" s="232">
        <f t="shared" si="228"/>
        <v>134.99</v>
      </c>
      <c r="AJ128" s="232"/>
      <c r="AK128" s="245"/>
      <c r="AL128" s="178"/>
      <c r="AM128" s="178"/>
      <c r="AN128" s="178"/>
    </row>
    <row r="129" spans="1:40" s="176" customFormat="1" ht="13.5" hidden="1">
      <c r="A129" s="186">
        <v>44</v>
      </c>
      <c r="B129" s="186"/>
      <c r="C129" s="193" t="s">
        <v>198</v>
      </c>
      <c r="D129" s="193" t="s">
        <v>194</v>
      </c>
      <c r="E129" s="249">
        <v>1800</v>
      </c>
      <c r="F129" s="250">
        <v>410</v>
      </c>
      <c r="G129" s="250">
        <v>280</v>
      </c>
      <c r="H129" s="250"/>
      <c r="I129" s="250"/>
      <c r="J129" s="250">
        <v>264</v>
      </c>
      <c r="K129" s="195"/>
      <c r="L129" s="195"/>
      <c r="M129" s="218">
        <f t="shared" si="210"/>
        <v>2754</v>
      </c>
      <c r="N129" s="216">
        <f t="shared" si="211"/>
        <v>2490</v>
      </c>
      <c r="O129" s="251">
        <f t="shared" si="212"/>
        <v>580.1</v>
      </c>
      <c r="P129" s="251">
        <f t="shared" si="213"/>
        <v>308.18</v>
      </c>
      <c r="Q129" s="251">
        <f t="shared" si="214"/>
        <v>18.13</v>
      </c>
      <c r="R129" s="251">
        <f t="shared" si="215"/>
        <v>11.6</v>
      </c>
      <c r="S129" s="251"/>
      <c r="T129" s="252">
        <f t="shared" si="229"/>
        <v>299</v>
      </c>
      <c r="U129" s="253">
        <f t="shared" si="217"/>
        <v>55.08</v>
      </c>
      <c r="V129" s="253"/>
      <c r="W129" s="254">
        <v>500</v>
      </c>
      <c r="X129" s="253">
        <f t="shared" si="218"/>
        <v>4526.090000000001</v>
      </c>
      <c r="Y129" s="254">
        <v>12000</v>
      </c>
      <c r="Z129" s="255">
        <f t="shared" si="219"/>
        <v>74413.08000000002</v>
      </c>
      <c r="AA129" s="232">
        <f t="shared" si="220"/>
        <v>199.2</v>
      </c>
      <c r="AB129" s="232">
        <f t="shared" si="221"/>
        <v>49.8</v>
      </c>
      <c r="AC129" s="232">
        <f t="shared" si="222"/>
        <v>12.45</v>
      </c>
      <c r="AD129" s="232">
        <f t="shared" si="223"/>
        <v>261.45</v>
      </c>
      <c r="AE129" s="232">
        <f t="shared" si="224"/>
        <v>290.05</v>
      </c>
      <c r="AF129" s="232">
        <f t="shared" si="225"/>
        <v>72.51</v>
      </c>
      <c r="AG129" s="232">
        <f t="shared" si="226"/>
        <v>18.13</v>
      </c>
      <c r="AH129" s="232">
        <f t="shared" si="227"/>
        <v>380.69</v>
      </c>
      <c r="AI129" s="232">
        <f t="shared" si="228"/>
        <v>119.24000000000001</v>
      </c>
      <c r="AJ129" s="232"/>
      <c r="AK129" s="245"/>
      <c r="AL129" s="178"/>
      <c r="AM129" s="178"/>
      <c r="AN129" s="178"/>
    </row>
    <row r="130" spans="1:40" s="176" customFormat="1" ht="13.5" hidden="1">
      <c r="A130" s="186">
        <v>45</v>
      </c>
      <c r="B130" s="186"/>
      <c r="C130" s="193" t="s">
        <v>199</v>
      </c>
      <c r="D130" s="193" t="s">
        <v>194</v>
      </c>
      <c r="E130" s="249">
        <v>1800</v>
      </c>
      <c r="F130" s="250">
        <v>410</v>
      </c>
      <c r="G130" s="250">
        <v>260</v>
      </c>
      <c r="H130" s="250"/>
      <c r="I130" s="250"/>
      <c r="J130" s="250">
        <v>264</v>
      </c>
      <c r="K130" s="195"/>
      <c r="L130" s="195"/>
      <c r="M130" s="218">
        <f t="shared" si="210"/>
        <v>2734</v>
      </c>
      <c r="N130" s="216">
        <f t="shared" si="211"/>
        <v>2470</v>
      </c>
      <c r="O130" s="251">
        <f t="shared" si="212"/>
        <v>580.1</v>
      </c>
      <c r="P130" s="251">
        <f t="shared" si="213"/>
        <v>308.18</v>
      </c>
      <c r="Q130" s="251">
        <f t="shared" si="214"/>
        <v>18.13</v>
      </c>
      <c r="R130" s="251">
        <f t="shared" si="215"/>
        <v>11.6</v>
      </c>
      <c r="S130" s="251"/>
      <c r="T130" s="252">
        <f t="shared" si="229"/>
        <v>297</v>
      </c>
      <c r="U130" s="253">
        <f t="shared" si="217"/>
        <v>54.68</v>
      </c>
      <c r="V130" s="253"/>
      <c r="W130" s="254">
        <v>500</v>
      </c>
      <c r="X130" s="253">
        <f t="shared" si="218"/>
        <v>4503.690000000001</v>
      </c>
      <c r="Y130" s="254">
        <v>12000</v>
      </c>
      <c r="Z130" s="255">
        <f t="shared" si="219"/>
        <v>74144.28000000001</v>
      </c>
      <c r="AA130" s="232">
        <f t="shared" si="220"/>
        <v>197.6</v>
      </c>
      <c r="AB130" s="232">
        <f t="shared" si="221"/>
        <v>49.4</v>
      </c>
      <c r="AC130" s="232">
        <f t="shared" si="222"/>
        <v>12.35</v>
      </c>
      <c r="AD130" s="232">
        <f t="shared" si="223"/>
        <v>259.35</v>
      </c>
      <c r="AE130" s="232">
        <f t="shared" si="224"/>
        <v>290.05</v>
      </c>
      <c r="AF130" s="232">
        <f t="shared" si="225"/>
        <v>72.51</v>
      </c>
      <c r="AG130" s="232">
        <f t="shared" si="226"/>
        <v>18.13</v>
      </c>
      <c r="AH130" s="232">
        <f t="shared" si="227"/>
        <v>380.69</v>
      </c>
      <c r="AI130" s="232">
        <f t="shared" si="228"/>
        <v>121.33999999999997</v>
      </c>
      <c r="AJ130" s="232"/>
      <c r="AK130" s="245"/>
      <c r="AL130" s="178"/>
      <c r="AM130" s="178"/>
      <c r="AN130" s="178"/>
    </row>
    <row r="131" spans="1:40" s="176" customFormat="1" ht="13.5" hidden="1">
      <c r="A131" s="186">
        <v>46</v>
      </c>
      <c r="B131" s="186"/>
      <c r="C131" s="193" t="s">
        <v>200</v>
      </c>
      <c r="D131" s="193" t="s">
        <v>164</v>
      </c>
      <c r="E131" s="249">
        <v>1680</v>
      </c>
      <c r="F131" s="250">
        <v>0</v>
      </c>
      <c r="G131" s="250">
        <v>0</v>
      </c>
      <c r="H131" s="250"/>
      <c r="I131" s="250"/>
      <c r="J131" s="250">
        <v>264</v>
      </c>
      <c r="K131" s="195"/>
      <c r="L131" s="195"/>
      <c r="M131" s="218">
        <f t="shared" si="210"/>
        <v>1944</v>
      </c>
      <c r="N131" s="216">
        <f t="shared" si="211"/>
        <v>1680</v>
      </c>
      <c r="O131" s="251">
        <f t="shared" si="212"/>
        <v>580.1</v>
      </c>
      <c r="P131" s="251">
        <f t="shared" si="213"/>
        <v>308.18</v>
      </c>
      <c r="Q131" s="251">
        <f t="shared" si="214"/>
        <v>18.13</v>
      </c>
      <c r="R131" s="251">
        <f t="shared" si="215"/>
        <v>11.6</v>
      </c>
      <c r="S131" s="251"/>
      <c r="T131" s="252"/>
      <c r="U131" s="253">
        <f t="shared" si="217"/>
        <v>38.88</v>
      </c>
      <c r="V131" s="253"/>
      <c r="W131" s="254"/>
      <c r="X131" s="253">
        <f t="shared" si="218"/>
        <v>2900.8900000000012</v>
      </c>
      <c r="Y131" s="254">
        <v>2500</v>
      </c>
      <c r="Z131" s="255">
        <f t="shared" si="219"/>
        <v>39410.680000000015</v>
      </c>
      <c r="AA131" s="232">
        <f t="shared" si="220"/>
        <v>134.4</v>
      </c>
      <c r="AB131" s="232">
        <f t="shared" si="221"/>
        <v>33.6</v>
      </c>
      <c r="AC131" s="232">
        <f t="shared" si="222"/>
        <v>8.4</v>
      </c>
      <c r="AD131" s="232">
        <f t="shared" si="223"/>
        <v>176.4</v>
      </c>
      <c r="AE131" s="232">
        <f t="shared" si="224"/>
        <v>290.05</v>
      </c>
      <c r="AF131" s="232">
        <f t="shared" si="225"/>
        <v>72.51</v>
      </c>
      <c r="AG131" s="232">
        <f t="shared" si="226"/>
        <v>18.13</v>
      </c>
      <c r="AH131" s="232">
        <f t="shared" si="227"/>
        <v>380.69</v>
      </c>
      <c r="AI131" s="232">
        <f t="shared" si="228"/>
        <v>204.29</v>
      </c>
      <c r="AJ131" s="232"/>
      <c r="AK131" s="245"/>
      <c r="AL131" s="178"/>
      <c r="AM131" s="178"/>
      <c r="AN131" s="178"/>
    </row>
    <row r="132" spans="1:40" s="176" customFormat="1" ht="13.5" hidden="1">
      <c r="A132" s="186">
        <v>47</v>
      </c>
      <c r="B132" s="186"/>
      <c r="C132" s="193" t="s">
        <v>201</v>
      </c>
      <c r="D132" s="193" t="s">
        <v>164</v>
      </c>
      <c r="E132" s="249">
        <v>1680</v>
      </c>
      <c r="F132" s="250">
        <v>0</v>
      </c>
      <c r="G132" s="250">
        <v>0</v>
      </c>
      <c r="H132" s="250"/>
      <c r="I132" s="250"/>
      <c r="J132" s="250">
        <v>264</v>
      </c>
      <c r="K132" s="195"/>
      <c r="L132" s="195"/>
      <c r="M132" s="218">
        <f t="shared" si="210"/>
        <v>1944</v>
      </c>
      <c r="N132" s="216">
        <f t="shared" si="211"/>
        <v>1680</v>
      </c>
      <c r="O132" s="251">
        <f t="shared" si="212"/>
        <v>580.1</v>
      </c>
      <c r="P132" s="251">
        <f t="shared" si="213"/>
        <v>308.18</v>
      </c>
      <c r="Q132" s="251">
        <f t="shared" si="214"/>
        <v>18.13</v>
      </c>
      <c r="R132" s="251">
        <f t="shared" si="215"/>
        <v>11.6</v>
      </c>
      <c r="S132" s="251"/>
      <c r="T132" s="252"/>
      <c r="U132" s="253">
        <f t="shared" si="217"/>
        <v>38.88</v>
      </c>
      <c r="V132" s="253"/>
      <c r="W132" s="254"/>
      <c r="X132" s="253">
        <f t="shared" si="218"/>
        <v>2900.8900000000012</v>
      </c>
      <c r="Y132" s="254">
        <v>2500</v>
      </c>
      <c r="Z132" s="255">
        <f t="shared" si="219"/>
        <v>39410.680000000015</v>
      </c>
      <c r="AA132" s="232">
        <f t="shared" si="220"/>
        <v>134.4</v>
      </c>
      <c r="AB132" s="232">
        <f t="shared" si="221"/>
        <v>33.6</v>
      </c>
      <c r="AC132" s="232">
        <f t="shared" si="222"/>
        <v>8.4</v>
      </c>
      <c r="AD132" s="232">
        <f t="shared" si="223"/>
        <v>176.4</v>
      </c>
      <c r="AE132" s="232">
        <f t="shared" si="224"/>
        <v>290.05</v>
      </c>
      <c r="AF132" s="232">
        <f t="shared" si="225"/>
        <v>72.51</v>
      </c>
      <c r="AG132" s="232">
        <f t="shared" si="226"/>
        <v>18.13</v>
      </c>
      <c r="AH132" s="232">
        <f t="shared" si="227"/>
        <v>380.69</v>
      </c>
      <c r="AI132" s="232">
        <f t="shared" si="228"/>
        <v>204.29</v>
      </c>
      <c r="AJ132" s="232"/>
      <c r="AK132" s="245"/>
      <c r="AL132" s="178"/>
      <c r="AM132" s="178"/>
      <c r="AN132" s="178"/>
    </row>
    <row r="133" spans="1:40" s="176" customFormat="1" ht="13.5" hidden="1">
      <c r="A133" s="186">
        <v>48</v>
      </c>
      <c r="B133" s="186"/>
      <c r="C133" s="193" t="s">
        <v>202</v>
      </c>
      <c r="D133" s="193" t="s">
        <v>164</v>
      </c>
      <c r="E133" s="249">
        <v>1680</v>
      </c>
      <c r="F133" s="250">
        <v>0</v>
      </c>
      <c r="G133" s="250">
        <v>0</v>
      </c>
      <c r="H133" s="250"/>
      <c r="I133" s="250"/>
      <c r="J133" s="250">
        <v>264</v>
      </c>
      <c r="K133" s="195"/>
      <c r="L133" s="195"/>
      <c r="M133" s="218">
        <f t="shared" si="210"/>
        <v>1944</v>
      </c>
      <c r="N133" s="216">
        <f t="shared" si="211"/>
        <v>1680</v>
      </c>
      <c r="O133" s="251">
        <f t="shared" si="212"/>
        <v>580.1</v>
      </c>
      <c r="P133" s="251">
        <f t="shared" si="213"/>
        <v>308.18</v>
      </c>
      <c r="Q133" s="251">
        <f t="shared" si="214"/>
        <v>18.13</v>
      </c>
      <c r="R133" s="251">
        <f t="shared" si="215"/>
        <v>11.6</v>
      </c>
      <c r="S133" s="251"/>
      <c r="T133" s="252"/>
      <c r="U133" s="253">
        <f t="shared" si="217"/>
        <v>38.88</v>
      </c>
      <c r="V133" s="253"/>
      <c r="W133" s="254"/>
      <c r="X133" s="253">
        <f t="shared" si="218"/>
        <v>2900.8900000000012</v>
      </c>
      <c r="Y133" s="254">
        <v>2500</v>
      </c>
      <c r="Z133" s="255">
        <f t="shared" si="219"/>
        <v>39410.680000000015</v>
      </c>
      <c r="AA133" s="232">
        <f t="shared" si="220"/>
        <v>134.4</v>
      </c>
      <c r="AB133" s="232">
        <f t="shared" si="221"/>
        <v>33.6</v>
      </c>
      <c r="AC133" s="232">
        <f t="shared" si="222"/>
        <v>8.4</v>
      </c>
      <c r="AD133" s="232">
        <f t="shared" si="223"/>
        <v>176.4</v>
      </c>
      <c r="AE133" s="232">
        <f t="shared" si="224"/>
        <v>290.05</v>
      </c>
      <c r="AF133" s="232">
        <f t="shared" si="225"/>
        <v>72.51</v>
      </c>
      <c r="AG133" s="232">
        <f t="shared" si="226"/>
        <v>18.13</v>
      </c>
      <c r="AH133" s="232">
        <f t="shared" si="227"/>
        <v>380.69</v>
      </c>
      <c r="AI133" s="232">
        <f t="shared" si="228"/>
        <v>204.29</v>
      </c>
      <c r="AJ133" s="232"/>
      <c r="AK133" s="245"/>
      <c r="AL133" s="178"/>
      <c r="AM133" s="178"/>
      <c r="AN133" s="178"/>
    </row>
    <row r="134" spans="1:40" s="176" customFormat="1" ht="13.5" hidden="1">
      <c r="A134" s="186">
        <v>49</v>
      </c>
      <c r="B134" s="186"/>
      <c r="C134" s="193" t="s">
        <v>203</v>
      </c>
      <c r="D134" s="193" t="s">
        <v>164</v>
      </c>
      <c r="E134" s="249">
        <v>1680</v>
      </c>
      <c r="F134" s="250">
        <v>0</v>
      </c>
      <c r="G134" s="250">
        <v>0</v>
      </c>
      <c r="H134" s="250"/>
      <c r="I134" s="250"/>
      <c r="J134" s="250">
        <v>264</v>
      </c>
      <c r="K134" s="195"/>
      <c r="L134" s="195"/>
      <c r="M134" s="218">
        <f t="shared" si="210"/>
        <v>1944</v>
      </c>
      <c r="N134" s="216">
        <f t="shared" si="211"/>
        <v>1680</v>
      </c>
      <c r="O134" s="251">
        <f t="shared" si="212"/>
        <v>580.1</v>
      </c>
      <c r="P134" s="251">
        <f t="shared" si="213"/>
        <v>308.18</v>
      </c>
      <c r="Q134" s="251">
        <f t="shared" si="214"/>
        <v>18.13</v>
      </c>
      <c r="R134" s="251">
        <f t="shared" si="215"/>
        <v>11.6</v>
      </c>
      <c r="S134" s="251"/>
      <c r="T134" s="252"/>
      <c r="U134" s="253">
        <f t="shared" si="217"/>
        <v>38.88</v>
      </c>
      <c r="V134" s="253"/>
      <c r="W134" s="254"/>
      <c r="X134" s="253">
        <f t="shared" si="218"/>
        <v>2900.8900000000012</v>
      </c>
      <c r="Y134" s="254">
        <v>2500</v>
      </c>
      <c r="Z134" s="255">
        <f t="shared" si="219"/>
        <v>39410.680000000015</v>
      </c>
      <c r="AA134" s="232">
        <f t="shared" si="220"/>
        <v>134.4</v>
      </c>
      <c r="AB134" s="232">
        <f t="shared" si="221"/>
        <v>33.6</v>
      </c>
      <c r="AC134" s="232">
        <f t="shared" si="222"/>
        <v>8.4</v>
      </c>
      <c r="AD134" s="232">
        <f t="shared" si="223"/>
        <v>176.4</v>
      </c>
      <c r="AE134" s="232">
        <f t="shared" si="224"/>
        <v>290.05</v>
      </c>
      <c r="AF134" s="232">
        <f t="shared" si="225"/>
        <v>72.51</v>
      </c>
      <c r="AG134" s="232">
        <f t="shared" si="226"/>
        <v>18.13</v>
      </c>
      <c r="AH134" s="232">
        <f t="shared" si="227"/>
        <v>380.69</v>
      </c>
      <c r="AI134" s="232">
        <f t="shared" si="228"/>
        <v>204.29</v>
      </c>
      <c r="AJ134" s="232"/>
      <c r="AK134" s="245"/>
      <c r="AL134" s="178"/>
      <c r="AM134" s="178"/>
      <c r="AN134" s="178"/>
    </row>
    <row r="135" spans="1:40" s="176" customFormat="1" ht="13.5" hidden="1">
      <c r="A135" s="186">
        <v>50</v>
      </c>
      <c r="B135" s="186"/>
      <c r="C135" s="193" t="s">
        <v>204</v>
      </c>
      <c r="D135" s="193" t="s">
        <v>164</v>
      </c>
      <c r="E135" s="249">
        <v>1680</v>
      </c>
      <c r="F135" s="250">
        <v>0</v>
      </c>
      <c r="G135" s="250">
        <v>0</v>
      </c>
      <c r="H135" s="250"/>
      <c r="I135" s="250"/>
      <c r="J135" s="250">
        <v>264</v>
      </c>
      <c r="K135" s="195"/>
      <c r="L135" s="195"/>
      <c r="M135" s="218">
        <f t="shared" si="210"/>
        <v>1944</v>
      </c>
      <c r="N135" s="216">
        <f t="shared" si="211"/>
        <v>1680</v>
      </c>
      <c r="O135" s="251">
        <f t="shared" si="212"/>
        <v>580.1</v>
      </c>
      <c r="P135" s="251">
        <f t="shared" si="213"/>
        <v>308.18</v>
      </c>
      <c r="Q135" s="251">
        <f t="shared" si="214"/>
        <v>18.13</v>
      </c>
      <c r="R135" s="251">
        <f t="shared" si="215"/>
        <v>11.6</v>
      </c>
      <c r="S135" s="251"/>
      <c r="T135" s="252"/>
      <c r="U135" s="253">
        <f t="shared" si="217"/>
        <v>38.88</v>
      </c>
      <c r="V135" s="253"/>
      <c r="W135" s="254"/>
      <c r="X135" s="253">
        <f t="shared" si="218"/>
        <v>2900.8900000000012</v>
      </c>
      <c r="Y135" s="254">
        <v>2500</v>
      </c>
      <c r="Z135" s="255">
        <f t="shared" si="219"/>
        <v>39410.680000000015</v>
      </c>
      <c r="AA135" s="232">
        <f t="shared" si="220"/>
        <v>134.4</v>
      </c>
      <c r="AB135" s="232">
        <f t="shared" si="221"/>
        <v>33.6</v>
      </c>
      <c r="AC135" s="232">
        <f t="shared" si="222"/>
        <v>8.4</v>
      </c>
      <c r="AD135" s="232">
        <f t="shared" si="223"/>
        <v>176.4</v>
      </c>
      <c r="AE135" s="232">
        <f t="shared" si="224"/>
        <v>290.05</v>
      </c>
      <c r="AF135" s="232">
        <f t="shared" si="225"/>
        <v>72.51</v>
      </c>
      <c r="AG135" s="232">
        <f t="shared" si="226"/>
        <v>18.13</v>
      </c>
      <c r="AH135" s="232">
        <f t="shared" si="227"/>
        <v>380.69</v>
      </c>
      <c r="AI135" s="232">
        <f t="shared" si="228"/>
        <v>204.29</v>
      </c>
      <c r="AJ135" s="232"/>
      <c r="AK135" s="245"/>
      <c r="AL135" s="178"/>
      <c r="AM135" s="178"/>
      <c r="AN135" s="178"/>
    </row>
    <row r="136" spans="1:40" s="176" customFormat="1" ht="13.5" hidden="1">
      <c r="A136" s="186">
        <v>51</v>
      </c>
      <c r="B136" s="186"/>
      <c r="C136" s="193" t="s">
        <v>205</v>
      </c>
      <c r="D136" s="193" t="s">
        <v>164</v>
      </c>
      <c r="E136" s="249">
        <v>1680</v>
      </c>
      <c r="F136" s="250">
        <v>0</v>
      </c>
      <c r="G136" s="250">
        <v>0</v>
      </c>
      <c r="H136" s="250"/>
      <c r="I136" s="250"/>
      <c r="J136" s="250">
        <v>264</v>
      </c>
      <c r="K136" s="195"/>
      <c r="L136" s="195"/>
      <c r="M136" s="218">
        <f t="shared" si="210"/>
        <v>1944</v>
      </c>
      <c r="N136" s="216">
        <f t="shared" si="211"/>
        <v>1680</v>
      </c>
      <c r="O136" s="251">
        <f t="shared" si="212"/>
        <v>580.1</v>
      </c>
      <c r="P136" s="251">
        <f t="shared" si="213"/>
        <v>308.18</v>
      </c>
      <c r="Q136" s="251">
        <f t="shared" si="214"/>
        <v>18.13</v>
      </c>
      <c r="R136" s="251">
        <f t="shared" si="215"/>
        <v>11.6</v>
      </c>
      <c r="S136" s="251"/>
      <c r="T136" s="252"/>
      <c r="U136" s="253">
        <f t="shared" si="217"/>
        <v>38.88</v>
      </c>
      <c r="V136" s="253"/>
      <c r="W136" s="254"/>
      <c r="X136" s="253">
        <f t="shared" si="218"/>
        <v>2900.8900000000012</v>
      </c>
      <c r="Y136" s="254">
        <v>2500</v>
      </c>
      <c r="Z136" s="255">
        <f t="shared" si="219"/>
        <v>39410.680000000015</v>
      </c>
      <c r="AA136" s="232">
        <f t="shared" si="220"/>
        <v>134.4</v>
      </c>
      <c r="AB136" s="232">
        <f t="shared" si="221"/>
        <v>33.6</v>
      </c>
      <c r="AC136" s="232">
        <f t="shared" si="222"/>
        <v>8.4</v>
      </c>
      <c r="AD136" s="232">
        <f t="shared" si="223"/>
        <v>176.4</v>
      </c>
      <c r="AE136" s="232">
        <f t="shared" si="224"/>
        <v>290.05</v>
      </c>
      <c r="AF136" s="232">
        <f t="shared" si="225"/>
        <v>72.51</v>
      </c>
      <c r="AG136" s="232">
        <f t="shared" si="226"/>
        <v>18.13</v>
      </c>
      <c r="AH136" s="232">
        <f t="shared" si="227"/>
        <v>380.69</v>
      </c>
      <c r="AI136" s="232">
        <f t="shared" si="228"/>
        <v>204.29</v>
      </c>
      <c r="AJ136" s="232"/>
      <c r="AK136" s="245"/>
      <c r="AL136" s="178"/>
      <c r="AM136" s="178"/>
      <c r="AN136" s="178"/>
    </row>
    <row r="137" spans="1:40" s="176" customFormat="1" ht="13.5" hidden="1">
      <c r="A137" s="186">
        <v>52</v>
      </c>
      <c r="B137" s="186"/>
      <c r="C137" s="193" t="s">
        <v>206</v>
      </c>
      <c r="D137" s="193" t="s">
        <v>164</v>
      </c>
      <c r="E137" s="249">
        <v>1680</v>
      </c>
      <c r="F137" s="250">
        <v>0</v>
      </c>
      <c r="G137" s="250">
        <v>0</v>
      </c>
      <c r="H137" s="250"/>
      <c r="I137" s="250"/>
      <c r="J137" s="250">
        <v>264</v>
      </c>
      <c r="K137" s="195"/>
      <c r="L137" s="195"/>
      <c r="M137" s="218">
        <f t="shared" si="210"/>
        <v>1944</v>
      </c>
      <c r="N137" s="216">
        <f t="shared" si="211"/>
        <v>1680</v>
      </c>
      <c r="O137" s="251">
        <f t="shared" si="212"/>
        <v>580.1</v>
      </c>
      <c r="P137" s="251">
        <f t="shared" si="213"/>
        <v>308.18</v>
      </c>
      <c r="Q137" s="251">
        <f t="shared" si="214"/>
        <v>18.13</v>
      </c>
      <c r="R137" s="251">
        <f t="shared" si="215"/>
        <v>11.6</v>
      </c>
      <c r="S137" s="251"/>
      <c r="T137" s="252"/>
      <c r="U137" s="253">
        <f t="shared" si="217"/>
        <v>38.88</v>
      </c>
      <c r="V137" s="253"/>
      <c r="W137" s="254"/>
      <c r="X137" s="253">
        <f t="shared" si="218"/>
        <v>2900.8900000000012</v>
      </c>
      <c r="Y137" s="254">
        <v>2500</v>
      </c>
      <c r="Z137" s="255">
        <f t="shared" si="219"/>
        <v>39410.680000000015</v>
      </c>
      <c r="AA137" s="232">
        <f t="shared" si="220"/>
        <v>134.4</v>
      </c>
      <c r="AB137" s="232">
        <f t="shared" si="221"/>
        <v>33.6</v>
      </c>
      <c r="AC137" s="232">
        <f t="shared" si="222"/>
        <v>8.4</v>
      </c>
      <c r="AD137" s="232">
        <f t="shared" si="223"/>
        <v>176.4</v>
      </c>
      <c r="AE137" s="232">
        <f t="shared" si="224"/>
        <v>290.05</v>
      </c>
      <c r="AF137" s="232">
        <f t="shared" si="225"/>
        <v>72.51</v>
      </c>
      <c r="AG137" s="232">
        <f t="shared" si="226"/>
        <v>18.13</v>
      </c>
      <c r="AH137" s="232">
        <f t="shared" si="227"/>
        <v>380.69</v>
      </c>
      <c r="AI137" s="232">
        <f t="shared" si="228"/>
        <v>204.29</v>
      </c>
      <c r="AJ137" s="232"/>
      <c r="AK137" s="245"/>
      <c r="AL137" s="178"/>
      <c r="AM137" s="178"/>
      <c r="AN137" s="178"/>
    </row>
    <row r="138" spans="1:40" s="176" customFormat="1" ht="13.5" hidden="1">
      <c r="A138" s="186">
        <v>53</v>
      </c>
      <c r="B138" s="186"/>
      <c r="C138" s="193" t="s">
        <v>207</v>
      </c>
      <c r="D138" s="193" t="s">
        <v>164</v>
      </c>
      <c r="E138" s="249">
        <v>1680</v>
      </c>
      <c r="F138" s="250">
        <v>0</v>
      </c>
      <c r="G138" s="250">
        <v>0</v>
      </c>
      <c r="H138" s="250"/>
      <c r="I138" s="250"/>
      <c r="J138" s="250">
        <v>264</v>
      </c>
      <c r="K138" s="195"/>
      <c r="L138" s="195"/>
      <c r="M138" s="218">
        <f t="shared" si="210"/>
        <v>1944</v>
      </c>
      <c r="N138" s="216">
        <f t="shared" si="211"/>
        <v>1680</v>
      </c>
      <c r="O138" s="251">
        <f t="shared" si="212"/>
        <v>580.1</v>
      </c>
      <c r="P138" s="251">
        <f t="shared" si="213"/>
        <v>308.18</v>
      </c>
      <c r="Q138" s="251">
        <f t="shared" si="214"/>
        <v>18.13</v>
      </c>
      <c r="R138" s="251">
        <f t="shared" si="215"/>
        <v>11.6</v>
      </c>
      <c r="S138" s="251"/>
      <c r="T138" s="252"/>
      <c r="U138" s="253">
        <f t="shared" si="217"/>
        <v>38.88</v>
      </c>
      <c r="V138" s="253"/>
      <c r="W138" s="254"/>
      <c r="X138" s="253">
        <f t="shared" si="218"/>
        <v>2900.8900000000012</v>
      </c>
      <c r="Y138" s="254">
        <v>2500</v>
      </c>
      <c r="Z138" s="255">
        <f t="shared" si="219"/>
        <v>39410.680000000015</v>
      </c>
      <c r="AA138" s="232">
        <f t="shared" si="220"/>
        <v>134.4</v>
      </c>
      <c r="AB138" s="232">
        <f t="shared" si="221"/>
        <v>33.6</v>
      </c>
      <c r="AC138" s="232">
        <f t="shared" si="222"/>
        <v>8.4</v>
      </c>
      <c r="AD138" s="232">
        <f t="shared" si="223"/>
        <v>176.4</v>
      </c>
      <c r="AE138" s="232">
        <f t="shared" si="224"/>
        <v>290.05</v>
      </c>
      <c r="AF138" s="232">
        <f t="shared" si="225"/>
        <v>72.51</v>
      </c>
      <c r="AG138" s="232">
        <f t="shared" si="226"/>
        <v>18.13</v>
      </c>
      <c r="AH138" s="232">
        <f t="shared" si="227"/>
        <v>380.69</v>
      </c>
      <c r="AI138" s="232">
        <f t="shared" si="228"/>
        <v>204.29</v>
      </c>
      <c r="AJ138" s="232"/>
      <c r="AK138" s="245"/>
      <c r="AL138" s="178"/>
      <c r="AM138" s="178"/>
      <c r="AN138" s="178"/>
    </row>
    <row r="139" spans="1:40" s="176" customFormat="1" ht="13.5" hidden="1">
      <c r="A139" s="186">
        <v>54</v>
      </c>
      <c r="B139" s="186"/>
      <c r="C139" s="193" t="s">
        <v>208</v>
      </c>
      <c r="D139" s="193" t="s">
        <v>164</v>
      </c>
      <c r="E139" s="249">
        <v>1680</v>
      </c>
      <c r="F139" s="250">
        <v>0</v>
      </c>
      <c r="G139" s="250">
        <v>0</v>
      </c>
      <c r="H139" s="250"/>
      <c r="I139" s="250"/>
      <c r="J139" s="250">
        <v>264</v>
      </c>
      <c r="K139" s="195"/>
      <c r="L139" s="195"/>
      <c r="M139" s="218">
        <f t="shared" si="210"/>
        <v>1944</v>
      </c>
      <c r="N139" s="216">
        <f t="shared" si="211"/>
        <v>1680</v>
      </c>
      <c r="O139" s="251">
        <f t="shared" si="212"/>
        <v>580.1</v>
      </c>
      <c r="P139" s="251">
        <f t="shared" si="213"/>
        <v>308.18</v>
      </c>
      <c r="Q139" s="251">
        <f t="shared" si="214"/>
        <v>18.13</v>
      </c>
      <c r="R139" s="251">
        <f t="shared" si="215"/>
        <v>11.6</v>
      </c>
      <c r="S139" s="251"/>
      <c r="T139" s="252"/>
      <c r="U139" s="253">
        <f t="shared" si="217"/>
        <v>38.88</v>
      </c>
      <c r="V139" s="253"/>
      <c r="W139" s="254"/>
      <c r="X139" s="253">
        <f t="shared" si="218"/>
        <v>2900.8900000000012</v>
      </c>
      <c r="Y139" s="254">
        <v>2500</v>
      </c>
      <c r="Z139" s="255">
        <f t="shared" si="219"/>
        <v>39410.680000000015</v>
      </c>
      <c r="AA139" s="232">
        <f t="shared" si="220"/>
        <v>134.4</v>
      </c>
      <c r="AB139" s="232">
        <f t="shared" si="221"/>
        <v>33.6</v>
      </c>
      <c r="AC139" s="232">
        <f t="shared" si="222"/>
        <v>8.4</v>
      </c>
      <c r="AD139" s="232">
        <f t="shared" si="223"/>
        <v>176.4</v>
      </c>
      <c r="AE139" s="232">
        <f t="shared" si="224"/>
        <v>290.05</v>
      </c>
      <c r="AF139" s="232">
        <f t="shared" si="225"/>
        <v>72.51</v>
      </c>
      <c r="AG139" s="232">
        <f t="shared" si="226"/>
        <v>18.13</v>
      </c>
      <c r="AH139" s="232">
        <f t="shared" si="227"/>
        <v>380.69</v>
      </c>
      <c r="AI139" s="232">
        <f t="shared" si="228"/>
        <v>204.29</v>
      </c>
      <c r="AJ139" s="232"/>
      <c r="AK139" s="245"/>
      <c r="AL139" s="178"/>
      <c r="AM139" s="178"/>
      <c r="AN139" s="178"/>
    </row>
    <row r="140" spans="1:40" s="176" customFormat="1" ht="13.5" hidden="1">
      <c r="A140" s="186">
        <v>55</v>
      </c>
      <c r="B140" s="186"/>
      <c r="C140" s="193" t="s">
        <v>209</v>
      </c>
      <c r="D140" s="193" t="s">
        <v>164</v>
      </c>
      <c r="E140" s="249">
        <v>1680</v>
      </c>
      <c r="F140" s="250">
        <v>0</v>
      </c>
      <c r="G140" s="250">
        <v>0</v>
      </c>
      <c r="H140" s="250"/>
      <c r="I140" s="250"/>
      <c r="J140" s="250">
        <v>264</v>
      </c>
      <c r="K140" s="195"/>
      <c r="L140" s="195"/>
      <c r="M140" s="218">
        <f t="shared" si="210"/>
        <v>1944</v>
      </c>
      <c r="N140" s="216">
        <f t="shared" si="211"/>
        <v>1680</v>
      </c>
      <c r="O140" s="251">
        <f t="shared" si="212"/>
        <v>580.1</v>
      </c>
      <c r="P140" s="251">
        <f t="shared" si="213"/>
        <v>308.18</v>
      </c>
      <c r="Q140" s="251">
        <f t="shared" si="214"/>
        <v>18.13</v>
      </c>
      <c r="R140" s="251">
        <f t="shared" si="215"/>
        <v>11.6</v>
      </c>
      <c r="S140" s="251"/>
      <c r="T140" s="252"/>
      <c r="U140" s="253">
        <f t="shared" si="217"/>
        <v>38.88</v>
      </c>
      <c r="V140" s="253"/>
      <c r="W140" s="254"/>
      <c r="X140" s="253">
        <f t="shared" si="218"/>
        <v>2900.8900000000012</v>
      </c>
      <c r="Y140" s="254">
        <v>2500</v>
      </c>
      <c r="Z140" s="255">
        <f t="shared" si="219"/>
        <v>39410.680000000015</v>
      </c>
      <c r="AA140" s="232">
        <f t="shared" si="220"/>
        <v>134.4</v>
      </c>
      <c r="AB140" s="232">
        <f t="shared" si="221"/>
        <v>33.6</v>
      </c>
      <c r="AC140" s="232">
        <f t="shared" si="222"/>
        <v>8.4</v>
      </c>
      <c r="AD140" s="232">
        <f t="shared" si="223"/>
        <v>176.4</v>
      </c>
      <c r="AE140" s="232">
        <f t="shared" si="224"/>
        <v>290.05</v>
      </c>
      <c r="AF140" s="232">
        <f t="shared" si="225"/>
        <v>72.51</v>
      </c>
      <c r="AG140" s="232">
        <f t="shared" si="226"/>
        <v>18.13</v>
      </c>
      <c r="AH140" s="232">
        <f t="shared" si="227"/>
        <v>380.69</v>
      </c>
      <c r="AI140" s="232">
        <f t="shared" si="228"/>
        <v>204.29</v>
      </c>
      <c r="AJ140" s="232"/>
      <c r="AK140" s="245"/>
      <c r="AL140" s="178"/>
      <c r="AM140" s="178"/>
      <c r="AN140" s="178"/>
    </row>
    <row r="141" spans="1:40" s="176" customFormat="1" ht="13.5" hidden="1">
      <c r="A141" s="186">
        <v>56</v>
      </c>
      <c r="B141" s="186"/>
      <c r="C141" s="193" t="s">
        <v>210</v>
      </c>
      <c r="D141" s="193" t="s">
        <v>164</v>
      </c>
      <c r="E141" s="249">
        <v>1680</v>
      </c>
      <c r="F141" s="250">
        <v>0</v>
      </c>
      <c r="G141" s="250">
        <v>0</v>
      </c>
      <c r="H141" s="250"/>
      <c r="I141" s="250"/>
      <c r="J141" s="250">
        <v>264</v>
      </c>
      <c r="K141" s="195"/>
      <c r="L141" s="195"/>
      <c r="M141" s="218">
        <f t="shared" si="210"/>
        <v>1944</v>
      </c>
      <c r="N141" s="216">
        <f t="shared" si="211"/>
        <v>1680</v>
      </c>
      <c r="O141" s="251">
        <f t="shared" si="212"/>
        <v>580.1</v>
      </c>
      <c r="P141" s="251">
        <f t="shared" si="213"/>
        <v>308.18</v>
      </c>
      <c r="Q141" s="251">
        <f t="shared" si="214"/>
        <v>18.13</v>
      </c>
      <c r="R141" s="251">
        <f t="shared" si="215"/>
        <v>11.6</v>
      </c>
      <c r="S141" s="251"/>
      <c r="T141" s="252"/>
      <c r="U141" s="253">
        <f t="shared" si="217"/>
        <v>38.88</v>
      </c>
      <c r="V141" s="253"/>
      <c r="W141" s="254"/>
      <c r="X141" s="253">
        <f t="shared" si="218"/>
        <v>2900.8900000000012</v>
      </c>
      <c r="Y141" s="254">
        <v>2500</v>
      </c>
      <c r="Z141" s="255">
        <f t="shared" si="219"/>
        <v>39410.680000000015</v>
      </c>
      <c r="AA141" s="232">
        <f t="shared" si="220"/>
        <v>134.4</v>
      </c>
      <c r="AB141" s="232">
        <f t="shared" si="221"/>
        <v>33.6</v>
      </c>
      <c r="AC141" s="232">
        <f t="shared" si="222"/>
        <v>8.4</v>
      </c>
      <c r="AD141" s="232">
        <f t="shared" si="223"/>
        <v>176.4</v>
      </c>
      <c r="AE141" s="232">
        <f t="shared" si="224"/>
        <v>290.05</v>
      </c>
      <c r="AF141" s="232">
        <f t="shared" si="225"/>
        <v>72.51</v>
      </c>
      <c r="AG141" s="232">
        <f t="shared" si="226"/>
        <v>18.13</v>
      </c>
      <c r="AH141" s="232">
        <f t="shared" si="227"/>
        <v>380.69</v>
      </c>
      <c r="AI141" s="232">
        <f t="shared" si="228"/>
        <v>204.29</v>
      </c>
      <c r="AJ141" s="232"/>
      <c r="AK141" s="245"/>
      <c r="AL141" s="178"/>
      <c r="AM141" s="178"/>
      <c r="AN141" s="178"/>
    </row>
    <row r="142" spans="1:40" s="176" customFormat="1" ht="13.5" hidden="1">
      <c r="A142" s="186">
        <v>57</v>
      </c>
      <c r="B142" s="186"/>
      <c r="C142" s="193" t="s">
        <v>211</v>
      </c>
      <c r="D142" s="193" t="s">
        <v>164</v>
      </c>
      <c r="E142" s="249">
        <v>1680</v>
      </c>
      <c r="F142" s="250">
        <v>0</v>
      </c>
      <c r="G142" s="250">
        <v>0</v>
      </c>
      <c r="H142" s="250"/>
      <c r="I142" s="250"/>
      <c r="J142" s="250">
        <v>264</v>
      </c>
      <c r="K142" s="195"/>
      <c r="L142" s="195"/>
      <c r="M142" s="218">
        <f t="shared" si="210"/>
        <v>1944</v>
      </c>
      <c r="N142" s="216">
        <f t="shared" si="211"/>
        <v>1680</v>
      </c>
      <c r="O142" s="251">
        <f t="shared" si="212"/>
        <v>580.1</v>
      </c>
      <c r="P142" s="251">
        <f t="shared" si="213"/>
        <v>308.18</v>
      </c>
      <c r="Q142" s="251">
        <f t="shared" si="214"/>
        <v>18.13</v>
      </c>
      <c r="R142" s="251">
        <f t="shared" si="215"/>
        <v>11.6</v>
      </c>
      <c r="S142" s="251"/>
      <c r="T142" s="252"/>
      <c r="U142" s="253">
        <f t="shared" si="217"/>
        <v>38.88</v>
      </c>
      <c r="V142" s="253"/>
      <c r="W142" s="254"/>
      <c r="X142" s="253">
        <f t="shared" si="218"/>
        <v>2900.8900000000012</v>
      </c>
      <c r="Y142" s="254">
        <v>2500</v>
      </c>
      <c r="Z142" s="255">
        <f t="shared" si="219"/>
        <v>39410.680000000015</v>
      </c>
      <c r="AA142" s="232">
        <f t="shared" si="220"/>
        <v>134.4</v>
      </c>
      <c r="AB142" s="232">
        <f t="shared" si="221"/>
        <v>33.6</v>
      </c>
      <c r="AC142" s="232">
        <f t="shared" si="222"/>
        <v>8.4</v>
      </c>
      <c r="AD142" s="232">
        <f t="shared" si="223"/>
        <v>176.4</v>
      </c>
      <c r="AE142" s="232">
        <f t="shared" si="224"/>
        <v>290.05</v>
      </c>
      <c r="AF142" s="232">
        <f t="shared" si="225"/>
        <v>72.51</v>
      </c>
      <c r="AG142" s="232">
        <f t="shared" si="226"/>
        <v>18.13</v>
      </c>
      <c r="AH142" s="232">
        <f t="shared" si="227"/>
        <v>380.69</v>
      </c>
      <c r="AI142" s="232">
        <f t="shared" si="228"/>
        <v>204.29</v>
      </c>
      <c r="AJ142" s="232"/>
      <c r="AK142" s="245"/>
      <c r="AL142" s="178"/>
      <c r="AM142" s="178"/>
      <c r="AN142" s="178"/>
    </row>
    <row r="143" spans="1:40" s="176" customFormat="1" ht="13.5" hidden="1">
      <c r="A143" s="186">
        <v>58</v>
      </c>
      <c r="B143" s="186"/>
      <c r="C143" s="193" t="s">
        <v>212</v>
      </c>
      <c r="D143" s="193" t="s">
        <v>164</v>
      </c>
      <c r="E143" s="249">
        <v>1680</v>
      </c>
      <c r="F143" s="250">
        <v>0</v>
      </c>
      <c r="G143" s="250">
        <v>0</v>
      </c>
      <c r="H143" s="250"/>
      <c r="I143" s="250"/>
      <c r="J143" s="250">
        <v>264</v>
      </c>
      <c r="K143" s="195"/>
      <c r="L143" s="195"/>
      <c r="M143" s="218">
        <f t="shared" si="210"/>
        <v>1944</v>
      </c>
      <c r="N143" s="216">
        <f t="shared" si="211"/>
        <v>1680</v>
      </c>
      <c r="O143" s="251">
        <f t="shared" si="212"/>
        <v>580.1</v>
      </c>
      <c r="P143" s="251">
        <f t="shared" si="213"/>
        <v>308.18</v>
      </c>
      <c r="Q143" s="251">
        <f t="shared" si="214"/>
        <v>18.13</v>
      </c>
      <c r="R143" s="251">
        <f t="shared" si="215"/>
        <v>11.6</v>
      </c>
      <c r="S143" s="251"/>
      <c r="T143" s="252"/>
      <c r="U143" s="253">
        <f t="shared" si="217"/>
        <v>38.88</v>
      </c>
      <c r="V143" s="253"/>
      <c r="W143" s="254"/>
      <c r="X143" s="253">
        <f t="shared" si="218"/>
        <v>2900.8900000000012</v>
      </c>
      <c r="Y143" s="254">
        <v>2500</v>
      </c>
      <c r="Z143" s="255">
        <f t="shared" si="219"/>
        <v>39410.680000000015</v>
      </c>
      <c r="AA143" s="232">
        <f t="shared" si="220"/>
        <v>134.4</v>
      </c>
      <c r="AB143" s="232">
        <f t="shared" si="221"/>
        <v>33.6</v>
      </c>
      <c r="AC143" s="232">
        <f t="shared" si="222"/>
        <v>8.4</v>
      </c>
      <c r="AD143" s="232">
        <f t="shared" si="223"/>
        <v>176.4</v>
      </c>
      <c r="AE143" s="232">
        <f t="shared" si="224"/>
        <v>290.05</v>
      </c>
      <c r="AF143" s="232">
        <f t="shared" si="225"/>
        <v>72.51</v>
      </c>
      <c r="AG143" s="232">
        <f t="shared" si="226"/>
        <v>18.13</v>
      </c>
      <c r="AH143" s="232">
        <f t="shared" si="227"/>
        <v>380.69</v>
      </c>
      <c r="AI143" s="232">
        <f t="shared" si="228"/>
        <v>204.29</v>
      </c>
      <c r="AJ143" s="232"/>
      <c r="AK143" s="245"/>
      <c r="AL143" s="178"/>
      <c r="AM143" s="178"/>
      <c r="AN143" s="178"/>
    </row>
    <row r="144" spans="1:40" s="176" customFormat="1" ht="13.5" hidden="1">
      <c r="A144" s="186">
        <v>59</v>
      </c>
      <c r="B144" s="186"/>
      <c r="C144" s="193" t="s">
        <v>213</v>
      </c>
      <c r="D144" s="193" t="s">
        <v>164</v>
      </c>
      <c r="E144" s="249">
        <v>1680</v>
      </c>
      <c r="F144" s="250">
        <v>0</v>
      </c>
      <c r="G144" s="250">
        <v>0</v>
      </c>
      <c r="H144" s="250"/>
      <c r="I144" s="250"/>
      <c r="J144" s="250">
        <v>264</v>
      </c>
      <c r="K144" s="195"/>
      <c r="L144" s="195"/>
      <c r="M144" s="218">
        <f t="shared" si="210"/>
        <v>1944</v>
      </c>
      <c r="N144" s="216">
        <f t="shared" si="211"/>
        <v>1680</v>
      </c>
      <c r="O144" s="251">
        <f t="shared" si="212"/>
        <v>580.1</v>
      </c>
      <c r="P144" s="251">
        <f t="shared" si="213"/>
        <v>308.18</v>
      </c>
      <c r="Q144" s="251">
        <f t="shared" si="214"/>
        <v>18.13</v>
      </c>
      <c r="R144" s="251">
        <f t="shared" si="215"/>
        <v>11.6</v>
      </c>
      <c r="S144" s="251"/>
      <c r="T144" s="252"/>
      <c r="U144" s="253">
        <f t="shared" si="217"/>
        <v>38.88</v>
      </c>
      <c r="V144" s="253"/>
      <c r="W144" s="254"/>
      <c r="X144" s="253">
        <f t="shared" si="218"/>
        <v>2900.8900000000012</v>
      </c>
      <c r="Y144" s="254">
        <v>2500</v>
      </c>
      <c r="Z144" s="255">
        <f t="shared" si="219"/>
        <v>39410.680000000015</v>
      </c>
      <c r="AA144" s="232">
        <f t="shared" si="220"/>
        <v>134.4</v>
      </c>
      <c r="AB144" s="232">
        <f t="shared" si="221"/>
        <v>33.6</v>
      </c>
      <c r="AC144" s="232">
        <f t="shared" si="222"/>
        <v>8.4</v>
      </c>
      <c r="AD144" s="232">
        <f t="shared" si="223"/>
        <v>176.4</v>
      </c>
      <c r="AE144" s="232">
        <f t="shared" si="224"/>
        <v>290.05</v>
      </c>
      <c r="AF144" s="232">
        <f t="shared" si="225"/>
        <v>72.51</v>
      </c>
      <c r="AG144" s="232">
        <f t="shared" si="226"/>
        <v>18.13</v>
      </c>
      <c r="AH144" s="232">
        <f t="shared" si="227"/>
        <v>380.69</v>
      </c>
      <c r="AI144" s="232">
        <f t="shared" si="228"/>
        <v>204.29</v>
      </c>
      <c r="AJ144" s="232"/>
      <c r="AK144" s="245"/>
      <c r="AL144" s="178"/>
      <c r="AM144" s="178"/>
      <c r="AN144" s="178"/>
    </row>
    <row r="145" spans="1:40" s="176" customFormat="1" ht="13.5" hidden="1">
      <c r="A145" s="186">
        <v>60</v>
      </c>
      <c r="B145" s="186"/>
      <c r="C145" s="193" t="s">
        <v>214</v>
      </c>
      <c r="D145" s="193" t="s">
        <v>164</v>
      </c>
      <c r="E145" s="249">
        <v>1680</v>
      </c>
      <c r="F145" s="250">
        <v>0</v>
      </c>
      <c r="G145" s="250">
        <v>0</v>
      </c>
      <c r="H145" s="250"/>
      <c r="I145" s="250"/>
      <c r="J145" s="250">
        <v>264</v>
      </c>
      <c r="K145" s="195"/>
      <c r="L145" s="195"/>
      <c r="M145" s="218">
        <f t="shared" si="210"/>
        <v>1944</v>
      </c>
      <c r="N145" s="216">
        <f t="shared" si="211"/>
        <v>1680</v>
      </c>
      <c r="O145" s="251">
        <f t="shared" si="212"/>
        <v>580.1</v>
      </c>
      <c r="P145" s="251">
        <f t="shared" si="213"/>
        <v>308.18</v>
      </c>
      <c r="Q145" s="251">
        <f t="shared" si="214"/>
        <v>18.13</v>
      </c>
      <c r="R145" s="251">
        <f t="shared" si="215"/>
        <v>11.6</v>
      </c>
      <c r="S145" s="251"/>
      <c r="T145" s="252"/>
      <c r="U145" s="253">
        <f t="shared" si="217"/>
        <v>38.88</v>
      </c>
      <c r="V145" s="253"/>
      <c r="W145" s="254"/>
      <c r="X145" s="253">
        <f t="shared" si="218"/>
        <v>2900.8900000000012</v>
      </c>
      <c r="Y145" s="254">
        <v>2500</v>
      </c>
      <c r="Z145" s="255">
        <f t="shared" si="219"/>
        <v>39410.680000000015</v>
      </c>
      <c r="AA145" s="232">
        <f t="shared" si="220"/>
        <v>134.4</v>
      </c>
      <c r="AB145" s="232">
        <f t="shared" si="221"/>
        <v>33.6</v>
      </c>
      <c r="AC145" s="232">
        <f t="shared" si="222"/>
        <v>8.4</v>
      </c>
      <c r="AD145" s="232">
        <f t="shared" si="223"/>
        <v>176.4</v>
      </c>
      <c r="AE145" s="232">
        <f t="shared" si="224"/>
        <v>290.05</v>
      </c>
      <c r="AF145" s="232">
        <f t="shared" si="225"/>
        <v>72.51</v>
      </c>
      <c r="AG145" s="232">
        <f t="shared" si="226"/>
        <v>18.13</v>
      </c>
      <c r="AH145" s="232">
        <f t="shared" si="227"/>
        <v>380.69</v>
      </c>
      <c r="AI145" s="232">
        <f t="shared" si="228"/>
        <v>204.29</v>
      </c>
      <c r="AJ145" s="232"/>
      <c r="AK145" s="245"/>
      <c r="AL145" s="178"/>
      <c r="AM145" s="178"/>
      <c r="AN145" s="178"/>
    </row>
    <row r="146" spans="1:40" s="176" customFormat="1" ht="13.5" hidden="1">
      <c r="A146" s="186">
        <v>61</v>
      </c>
      <c r="B146" s="186"/>
      <c r="C146" s="193" t="s">
        <v>215</v>
      </c>
      <c r="D146" s="193" t="s">
        <v>164</v>
      </c>
      <c r="E146" s="249">
        <v>1680</v>
      </c>
      <c r="F146" s="250">
        <v>0</v>
      </c>
      <c r="G146" s="250">
        <v>0</v>
      </c>
      <c r="H146" s="250"/>
      <c r="I146" s="250"/>
      <c r="J146" s="250">
        <v>264</v>
      </c>
      <c r="K146" s="195"/>
      <c r="L146" s="195"/>
      <c r="M146" s="218">
        <f t="shared" si="210"/>
        <v>1944</v>
      </c>
      <c r="N146" s="216">
        <f t="shared" si="211"/>
        <v>1680</v>
      </c>
      <c r="O146" s="251">
        <f t="shared" si="212"/>
        <v>580.1</v>
      </c>
      <c r="P146" s="251">
        <f t="shared" si="213"/>
        <v>308.18</v>
      </c>
      <c r="Q146" s="251">
        <f t="shared" si="214"/>
        <v>18.13</v>
      </c>
      <c r="R146" s="251">
        <f t="shared" si="215"/>
        <v>11.6</v>
      </c>
      <c r="S146" s="251"/>
      <c r="T146" s="252"/>
      <c r="U146" s="253">
        <f t="shared" si="217"/>
        <v>38.88</v>
      </c>
      <c r="V146" s="253"/>
      <c r="W146" s="254"/>
      <c r="X146" s="253">
        <f t="shared" si="218"/>
        <v>2900.8900000000012</v>
      </c>
      <c r="Y146" s="254">
        <v>2500</v>
      </c>
      <c r="Z146" s="255">
        <f t="shared" si="219"/>
        <v>39410.680000000015</v>
      </c>
      <c r="AA146" s="232">
        <f t="shared" si="220"/>
        <v>134.4</v>
      </c>
      <c r="AB146" s="232">
        <f t="shared" si="221"/>
        <v>33.6</v>
      </c>
      <c r="AC146" s="232">
        <f t="shared" si="222"/>
        <v>8.4</v>
      </c>
      <c r="AD146" s="232">
        <f t="shared" si="223"/>
        <v>176.4</v>
      </c>
      <c r="AE146" s="232">
        <f t="shared" si="224"/>
        <v>290.05</v>
      </c>
      <c r="AF146" s="232">
        <f t="shared" si="225"/>
        <v>72.51</v>
      </c>
      <c r="AG146" s="232">
        <f t="shared" si="226"/>
        <v>18.13</v>
      </c>
      <c r="AH146" s="232">
        <f t="shared" si="227"/>
        <v>380.69</v>
      </c>
      <c r="AI146" s="232">
        <f t="shared" si="228"/>
        <v>204.29</v>
      </c>
      <c r="AJ146" s="232"/>
      <c r="AK146" s="245"/>
      <c r="AL146" s="178"/>
      <c r="AM146" s="178"/>
      <c r="AN146" s="178"/>
    </row>
    <row r="147" spans="1:40" s="176" customFormat="1" ht="13.5" hidden="1">
      <c r="A147" s="186">
        <v>62</v>
      </c>
      <c r="B147" s="186"/>
      <c r="C147" s="193" t="s">
        <v>216</v>
      </c>
      <c r="D147" s="193" t="s">
        <v>164</v>
      </c>
      <c r="E147" s="249">
        <v>1680</v>
      </c>
      <c r="F147" s="250">
        <v>0</v>
      </c>
      <c r="G147" s="250">
        <v>0</v>
      </c>
      <c r="H147" s="250"/>
      <c r="I147" s="250"/>
      <c r="J147" s="250">
        <v>264</v>
      </c>
      <c r="K147" s="195"/>
      <c r="L147" s="195"/>
      <c r="M147" s="218">
        <f t="shared" si="210"/>
        <v>1944</v>
      </c>
      <c r="N147" s="216">
        <f t="shared" si="211"/>
        <v>1680</v>
      </c>
      <c r="O147" s="251">
        <f t="shared" si="212"/>
        <v>580.1</v>
      </c>
      <c r="P147" s="251">
        <f t="shared" si="213"/>
        <v>308.18</v>
      </c>
      <c r="Q147" s="251">
        <f t="shared" si="214"/>
        <v>18.13</v>
      </c>
      <c r="R147" s="251">
        <f t="shared" si="215"/>
        <v>11.6</v>
      </c>
      <c r="S147" s="251"/>
      <c r="T147" s="252"/>
      <c r="U147" s="253">
        <f t="shared" si="217"/>
        <v>38.88</v>
      </c>
      <c r="V147" s="253"/>
      <c r="W147" s="254"/>
      <c r="X147" s="253">
        <f t="shared" si="218"/>
        <v>2900.8900000000012</v>
      </c>
      <c r="Y147" s="254">
        <v>2500</v>
      </c>
      <c r="Z147" s="255">
        <f t="shared" si="219"/>
        <v>39410.680000000015</v>
      </c>
      <c r="AA147" s="232">
        <f t="shared" si="220"/>
        <v>134.4</v>
      </c>
      <c r="AB147" s="232">
        <f t="shared" si="221"/>
        <v>33.6</v>
      </c>
      <c r="AC147" s="232">
        <f t="shared" si="222"/>
        <v>8.4</v>
      </c>
      <c r="AD147" s="232">
        <f t="shared" si="223"/>
        <v>176.4</v>
      </c>
      <c r="AE147" s="232">
        <f t="shared" si="224"/>
        <v>290.05</v>
      </c>
      <c r="AF147" s="232">
        <f t="shared" si="225"/>
        <v>72.51</v>
      </c>
      <c r="AG147" s="232">
        <f t="shared" si="226"/>
        <v>18.13</v>
      </c>
      <c r="AH147" s="232">
        <f t="shared" si="227"/>
        <v>380.69</v>
      </c>
      <c r="AI147" s="232">
        <f t="shared" si="228"/>
        <v>204.29</v>
      </c>
      <c r="AJ147" s="232"/>
      <c r="AK147" s="245"/>
      <c r="AL147" s="178"/>
      <c r="AM147" s="178"/>
      <c r="AN147" s="178"/>
    </row>
    <row r="148" spans="1:40" s="176" customFormat="1" ht="13.5" hidden="1">
      <c r="A148" s="186">
        <v>63</v>
      </c>
      <c r="B148" s="186"/>
      <c r="C148" s="193" t="s">
        <v>217</v>
      </c>
      <c r="D148" s="193" t="s">
        <v>164</v>
      </c>
      <c r="E148" s="249">
        <v>1680</v>
      </c>
      <c r="F148" s="250">
        <v>0</v>
      </c>
      <c r="G148" s="250">
        <v>0</v>
      </c>
      <c r="H148" s="250"/>
      <c r="I148" s="250"/>
      <c r="J148" s="250">
        <v>264</v>
      </c>
      <c r="K148" s="195"/>
      <c r="L148" s="195"/>
      <c r="M148" s="218">
        <f t="shared" si="210"/>
        <v>1944</v>
      </c>
      <c r="N148" s="216">
        <f t="shared" si="211"/>
        <v>1680</v>
      </c>
      <c r="O148" s="251">
        <f t="shared" si="212"/>
        <v>580.1</v>
      </c>
      <c r="P148" s="251">
        <f t="shared" si="213"/>
        <v>308.18</v>
      </c>
      <c r="Q148" s="251">
        <f t="shared" si="214"/>
        <v>18.13</v>
      </c>
      <c r="R148" s="251">
        <f t="shared" si="215"/>
        <v>11.6</v>
      </c>
      <c r="S148" s="251"/>
      <c r="T148" s="252"/>
      <c r="U148" s="253">
        <f t="shared" si="217"/>
        <v>38.88</v>
      </c>
      <c r="V148" s="253"/>
      <c r="W148" s="254"/>
      <c r="X148" s="253">
        <f t="shared" si="218"/>
        <v>2900.8900000000012</v>
      </c>
      <c r="Y148" s="254">
        <v>2500</v>
      </c>
      <c r="Z148" s="255">
        <f t="shared" si="219"/>
        <v>39410.680000000015</v>
      </c>
      <c r="AA148" s="232">
        <f t="shared" si="220"/>
        <v>134.4</v>
      </c>
      <c r="AB148" s="232">
        <f t="shared" si="221"/>
        <v>33.6</v>
      </c>
      <c r="AC148" s="232">
        <f t="shared" si="222"/>
        <v>8.4</v>
      </c>
      <c r="AD148" s="232">
        <f t="shared" si="223"/>
        <v>176.4</v>
      </c>
      <c r="AE148" s="232">
        <f t="shared" si="224"/>
        <v>290.05</v>
      </c>
      <c r="AF148" s="232">
        <f t="shared" si="225"/>
        <v>72.51</v>
      </c>
      <c r="AG148" s="232">
        <f t="shared" si="226"/>
        <v>18.13</v>
      </c>
      <c r="AH148" s="232">
        <f t="shared" si="227"/>
        <v>380.69</v>
      </c>
      <c r="AI148" s="232">
        <f t="shared" si="228"/>
        <v>204.29</v>
      </c>
      <c r="AJ148" s="232"/>
      <c r="AK148" s="245"/>
      <c r="AL148" s="178"/>
      <c r="AM148" s="178"/>
      <c r="AN148" s="178"/>
    </row>
    <row r="149" spans="1:40" s="176" customFormat="1" ht="13.5" hidden="1">
      <c r="A149" s="186">
        <v>64</v>
      </c>
      <c r="B149" s="186"/>
      <c r="C149" s="193" t="s">
        <v>218</v>
      </c>
      <c r="D149" s="193" t="s">
        <v>164</v>
      </c>
      <c r="E149" s="249">
        <v>1680</v>
      </c>
      <c r="F149" s="250">
        <v>0</v>
      </c>
      <c r="G149" s="250">
        <v>0</v>
      </c>
      <c r="H149" s="250"/>
      <c r="I149" s="250"/>
      <c r="J149" s="250">
        <v>264</v>
      </c>
      <c r="K149" s="195"/>
      <c r="L149" s="195"/>
      <c r="M149" s="218">
        <f t="shared" si="210"/>
        <v>1944</v>
      </c>
      <c r="N149" s="216">
        <f t="shared" si="211"/>
        <v>1680</v>
      </c>
      <c r="O149" s="251">
        <f t="shared" si="212"/>
        <v>580.1</v>
      </c>
      <c r="P149" s="251">
        <f t="shared" si="213"/>
        <v>308.18</v>
      </c>
      <c r="Q149" s="251">
        <f t="shared" si="214"/>
        <v>18.13</v>
      </c>
      <c r="R149" s="251">
        <f t="shared" si="215"/>
        <v>11.6</v>
      </c>
      <c r="S149" s="251"/>
      <c r="T149" s="252"/>
      <c r="U149" s="253">
        <f t="shared" si="217"/>
        <v>38.88</v>
      </c>
      <c r="V149" s="253"/>
      <c r="W149" s="254"/>
      <c r="X149" s="253">
        <f t="shared" si="218"/>
        <v>2900.8900000000012</v>
      </c>
      <c r="Y149" s="254">
        <v>2500</v>
      </c>
      <c r="Z149" s="255">
        <f t="shared" si="219"/>
        <v>39410.680000000015</v>
      </c>
      <c r="AA149" s="232">
        <f t="shared" si="220"/>
        <v>134.4</v>
      </c>
      <c r="AB149" s="232">
        <f t="shared" si="221"/>
        <v>33.6</v>
      </c>
      <c r="AC149" s="232">
        <f t="shared" si="222"/>
        <v>8.4</v>
      </c>
      <c r="AD149" s="232">
        <f t="shared" si="223"/>
        <v>176.4</v>
      </c>
      <c r="AE149" s="232">
        <f t="shared" si="224"/>
        <v>290.05</v>
      </c>
      <c r="AF149" s="232">
        <f t="shared" si="225"/>
        <v>72.51</v>
      </c>
      <c r="AG149" s="232">
        <f t="shared" si="226"/>
        <v>18.13</v>
      </c>
      <c r="AH149" s="232">
        <f t="shared" si="227"/>
        <v>380.69</v>
      </c>
      <c r="AI149" s="232">
        <f t="shared" si="228"/>
        <v>204.29</v>
      </c>
      <c r="AJ149" s="232"/>
      <c r="AK149" s="245"/>
      <c r="AL149" s="178"/>
      <c r="AM149" s="178"/>
      <c r="AN149" s="178"/>
    </row>
    <row r="150" spans="1:40" s="176" customFormat="1" ht="13.5" hidden="1">
      <c r="A150" s="186">
        <v>65</v>
      </c>
      <c r="B150" s="186"/>
      <c r="C150" s="193" t="s">
        <v>219</v>
      </c>
      <c r="D150" s="193" t="s">
        <v>164</v>
      </c>
      <c r="E150" s="249">
        <v>1680</v>
      </c>
      <c r="F150" s="250">
        <v>0</v>
      </c>
      <c r="G150" s="250">
        <v>0</v>
      </c>
      <c r="H150" s="250"/>
      <c r="I150" s="250"/>
      <c r="J150" s="250">
        <v>264</v>
      </c>
      <c r="K150" s="195"/>
      <c r="L150" s="195"/>
      <c r="M150" s="218">
        <f aca="true" t="shared" si="230" ref="M150:M167">SUM(E150:L150)</f>
        <v>1944</v>
      </c>
      <c r="N150" s="216">
        <f aca="true" t="shared" si="231" ref="N150:N166">M150-J150</f>
        <v>1680</v>
      </c>
      <c r="O150" s="251">
        <f aca="true" t="shared" si="232" ref="O150:O166">ROUND(IF((N150)&gt;3453*105%,(N150),3453*105%)*16%,2)</f>
        <v>580.1</v>
      </c>
      <c r="P150" s="251">
        <f aca="true" t="shared" si="233" ref="P150:P166">ROUND(IF(N150&gt;3453*105%,N150,3453*105%)*8.5%,2)</f>
        <v>308.18</v>
      </c>
      <c r="Q150" s="251">
        <f aca="true" t="shared" si="234" ref="Q150:Q166">ROUND(IF(N150&gt;3453*105%,N150,3453*105%)*0.5%,2)</f>
        <v>18.13</v>
      </c>
      <c r="R150" s="251">
        <f aca="true" t="shared" si="235" ref="R150:R166">ROUND(IF(N150&gt;3453*105%,N150,3453*105%)*0.32%,2)</f>
        <v>11.6</v>
      </c>
      <c r="S150" s="251"/>
      <c r="T150" s="252"/>
      <c r="U150" s="253">
        <f aca="true" t="shared" si="236" ref="U150:U166">M150*2%</f>
        <v>38.88</v>
      </c>
      <c r="V150" s="253"/>
      <c r="W150" s="254"/>
      <c r="X150" s="253">
        <f aca="true" t="shared" si="237" ref="X150:X167">SUM(M150:U150)+W150-N150</f>
        <v>2900.8900000000012</v>
      </c>
      <c r="Y150" s="254">
        <v>2500</v>
      </c>
      <c r="Z150" s="255">
        <f aca="true" t="shared" si="238" ref="Z150:Z167">X150*12+W150*12+Y150+300*7</f>
        <v>39410.680000000015</v>
      </c>
      <c r="AA150" s="232">
        <f aca="true" t="shared" si="239" ref="AA150:AA166">ROUND(N150*8%,2)</f>
        <v>134.4</v>
      </c>
      <c r="AB150" s="232">
        <f aca="true" t="shared" si="240" ref="AB150:AB166">ROUND(N150*2%,2)</f>
        <v>33.6</v>
      </c>
      <c r="AC150" s="232">
        <f aca="true" t="shared" si="241" ref="AC150:AC166">ROUND(N150*0.5%,2)</f>
        <v>8.4</v>
      </c>
      <c r="AD150" s="232">
        <f aca="true" t="shared" si="242" ref="AD150:AD166">SUM(AA150:AC150)</f>
        <v>176.4</v>
      </c>
      <c r="AE150" s="232">
        <f aca="true" t="shared" si="243" ref="AE150:AE166">ROUND(IF(N150&gt;3453*105%,N150,3453*105%)*8%,2)</f>
        <v>290.05</v>
      </c>
      <c r="AF150" s="232">
        <f aca="true" t="shared" si="244" ref="AF150:AF166">ROUND(IF(N150&gt;3453*105%,N150,3453*105%)*2%,2)</f>
        <v>72.51</v>
      </c>
      <c r="AG150" s="232">
        <f aca="true" t="shared" si="245" ref="AG150:AG166">ROUND(IF(N150&gt;3453*105%,N150,3453*105%)*0.5%,2)</f>
        <v>18.13</v>
      </c>
      <c r="AH150" s="232">
        <f aca="true" t="shared" si="246" ref="AH150:AH166">SUM(AE150:AG150)</f>
        <v>380.69</v>
      </c>
      <c r="AI150" s="232">
        <f aca="true" t="shared" si="247" ref="AI150:AI166">AH150-AD150</f>
        <v>204.29</v>
      </c>
      <c r="AJ150" s="232"/>
      <c r="AK150" s="245"/>
      <c r="AL150" s="178"/>
      <c r="AM150" s="178"/>
      <c r="AN150" s="178"/>
    </row>
    <row r="151" spans="1:40" s="176" customFormat="1" ht="13.5" hidden="1">
      <c r="A151" s="186">
        <v>66</v>
      </c>
      <c r="B151" s="186"/>
      <c r="C151" s="193" t="s">
        <v>220</v>
      </c>
      <c r="D151" s="193" t="s">
        <v>164</v>
      </c>
      <c r="E151" s="249">
        <v>1680</v>
      </c>
      <c r="F151" s="250">
        <v>0</v>
      </c>
      <c r="G151" s="250">
        <v>0</v>
      </c>
      <c r="H151" s="250"/>
      <c r="I151" s="250"/>
      <c r="J151" s="250">
        <v>264</v>
      </c>
      <c r="K151" s="195"/>
      <c r="L151" s="195"/>
      <c r="M151" s="218">
        <f t="shared" si="230"/>
        <v>1944</v>
      </c>
      <c r="N151" s="216">
        <f t="shared" si="231"/>
        <v>1680</v>
      </c>
      <c r="O151" s="251">
        <f t="shared" si="232"/>
        <v>580.1</v>
      </c>
      <c r="P151" s="251">
        <f t="shared" si="233"/>
        <v>308.18</v>
      </c>
      <c r="Q151" s="251">
        <f t="shared" si="234"/>
        <v>18.13</v>
      </c>
      <c r="R151" s="251">
        <f t="shared" si="235"/>
        <v>11.6</v>
      </c>
      <c r="S151" s="251"/>
      <c r="T151" s="252"/>
      <c r="U151" s="253">
        <f t="shared" si="236"/>
        <v>38.88</v>
      </c>
      <c r="V151" s="253"/>
      <c r="W151" s="254"/>
      <c r="X151" s="253">
        <f t="shared" si="237"/>
        <v>2900.8900000000012</v>
      </c>
      <c r="Y151" s="254">
        <v>2500</v>
      </c>
      <c r="Z151" s="255">
        <f t="shared" si="238"/>
        <v>39410.680000000015</v>
      </c>
      <c r="AA151" s="232">
        <f t="shared" si="239"/>
        <v>134.4</v>
      </c>
      <c r="AB151" s="232">
        <f t="shared" si="240"/>
        <v>33.6</v>
      </c>
      <c r="AC151" s="232">
        <f t="shared" si="241"/>
        <v>8.4</v>
      </c>
      <c r="AD151" s="232">
        <f t="shared" si="242"/>
        <v>176.4</v>
      </c>
      <c r="AE151" s="232">
        <f t="shared" si="243"/>
        <v>290.05</v>
      </c>
      <c r="AF151" s="232">
        <f t="shared" si="244"/>
        <v>72.51</v>
      </c>
      <c r="AG151" s="232">
        <f t="shared" si="245"/>
        <v>18.13</v>
      </c>
      <c r="AH151" s="232">
        <f t="shared" si="246"/>
        <v>380.69</v>
      </c>
      <c r="AI151" s="232">
        <f t="shared" si="247"/>
        <v>204.29</v>
      </c>
      <c r="AJ151" s="232"/>
      <c r="AK151" s="245"/>
      <c r="AL151" s="178"/>
      <c r="AM151" s="178"/>
      <c r="AN151" s="178"/>
    </row>
    <row r="152" spans="1:40" s="176" customFormat="1" ht="13.5" hidden="1">
      <c r="A152" s="186">
        <v>67</v>
      </c>
      <c r="B152" s="186"/>
      <c r="C152" s="193" t="s">
        <v>221</v>
      </c>
      <c r="D152" s="193" t="s">
        <v>164</v>
      </c>
      <c r="E152" s="249">
        <v>1680</v>
      </c>
      <c r="F152" s="250">
        <v>0</v>
      </c>
      <c r="G152" s="250">
        <v>0</v>
      </c>
      <c r="H152" s="250"/>
      <c r="I152" s="250"/>
      <c r="J152" s="250">
        <v>264</v>
      </c>
      <c r="K152" s="195"/>
      <c r="L152" s="195"/>
      <c r="M152" s="218">
        <f t="shared" si="230"/>
        <v>1944</v>
      </c>
      <c r="N152" s="216">
        <f t="shared" si="231"/>
        <v>1680</v>
      </c>
      <c r="O152" s="251">
        <f t="shared" si="232"/>
        <v>580.1</v>
      </c>
      <c r="P152" s="251">
        <f t="shared" si="233"/>
        <v>308.18</v>
      </c>
      <c r="Q152" s="251">
        <f t="shared" si="234"/>
        <v>18.13</v>
      </c>
      <c r="R152" s="251">
        <f t="shared" si="235"/>
        <v>11.6</v>
      </c>
      <c r="S152" s="251"/>
      <c r="T152" s="252"/>
      <c r="U152" s="253">
        <f t="shared" si="236"/>
        <v>38.88</v>
      </c>
      <c r="V152" s="253"/>
      <c r="W152" s="254"/>
      <c r="X152" s="253">
        <f t="shared" si="237"/>
        <v>2900.8900000000012</v>
      </c>
      <c r="Y152" s="254">
        <v>2500</v>
      </c>
      <c r="Z152" s="255">
        <f t="shared" si="238"/>
        <v>39410.680000000015</v>
      </c>
      <c r="AA152" s="232">
        <f t="shared" si="239"/>
        <v>134.4</v>
      </c>
      <c r="AB152" s="232">
        <f t="shared" si="240"/>
        <v>33.6</v>
      </c>
      <c r="AC152" s="232">
        <f t="shared" si="241"/>
        <v>8.4</v>
      </c>
      <c r="AD152" s="232">
        <f t="shared" si="242"/>
        <v>176.4</v>
      </c>
      <c r="AE152" s="232">
        <f t="shared" si="243"/>
        <v>290.05</v>
      </c>
      <c r="AF152" s="232">
        <f t="shared" si="244"/>
        <v>72.51</v>
      </c>
      <c r="AG152" s="232">
        <f t="shared" si="245"/>
        <v>18.13</v>
      </c>
      <c r="AH152" s="232">
        <f t="shared" si="246"/>
        <v>380.69</v>
      </c>
      <c r="AI152" s="232">
        <f t="shared" si="247"/>
        <v>204.29</v>
      </c>
      <c r="AJ152" s="232"/>
      <c r="AK152" s="245"/>
      <c r="AL152" s="178"/>
      <c r="AM152" s="178"/>
      <c r="AN152" s="178"/>
    </row>
    <row r="153" spans="1:40" s="176" customFormat="1" ht="13.5" hidden="1">
      <c r="A153" s="186">
        <v>68</v>
      </c>
      <c r="B153" s="186"/>
      <c r="C153" s="193" t="s">
        <v>222</v>
      </c>
      <c r="D153" s="193" t="s">
        <v>164</v>
      </c>
      <c r="E153" s="249">
        <v>1680</v>
      </c>
      <c r="F153" s="250">
        <v>0</v>
      </c>
      <c r="G153" s="250">
        <v>0</v>
      </c>
      <c r="H153" s="250"/>
      <c r="I153" s="250"/>
      <c r="J153" s="250">
        <v>264</v>
      </c>
      <c r="K153" s="195"/>
      <c r="L153" s="195"/>
      <c r="M153" s="218">
        <f t="shared" si="230"/>
        <v>1944</v>
      </c>
      <c r="N153" s="216">
        <f t="shared" si="231"/>
        <v>1680</v>
      </c>
      <c r="O153" s="251">
        <f t="shared" si="232"/>
        <v>580.1</v>
      </c>
      <c r="P153" s="251">
        <f t="shared" si="233"/>
        <v>308.18</v>
      </c>
      <c r="Q153" s="251">
        <f t="shared" si="234"/>
        <v>18.13</v>
      </c>
      <c r="R153" s="251">
        <f t="shared" si="235"/>
        <v>11.6</v>
      </c>
      <c r="S153" s="251"/>
      <c r="T153" s="252"/>
      <c r="U153" s="253">
        <f t="shared" si="236"/>
        <v>38.88</v>
      </c>
      <c r="V153" s="253"/>
      <c r="W153" s="254"/>
      <c r="X153" s="253">
        <f t="shared" si="237"/>
        <v>2900.8900000000012</v>
      </c>
      <c r="Y153" s="254">
        <v>2500</v>
      </c>
      <c r="Z153" s="255">
        <f t="shared" si="238"/>
        <v>39410.680000000015</v>
      </c>
      <c r="AA153" s="232">
        <f t="shared" si="239"/>
        <v>134.4</v>
      </c>
      <c r="AB153" s="232">
        <f t="shared" si="240"/>
        <v>33.6</v>
      </c>
      <c r="AC153" s="232">
        <f t="shared" si="241"/>
        <v>8.4</v>
      </c>
      <c r="AD153" s="232">
        <f t="shared" si="242"/>
        <v>176.4</v>
      </c>
      <c r="AE153" s="232">
        <f t="shared" si="243"/>
        <v>290.05</v>
      </c>
      <c r="AF153" s="232">
        <f t="shared" si="244"/>
        <v>72.51</v>
      </c>
      <c r="AG153" s="232">
        <f t="shared" si="245"/>
        <v>18.13</v>
      </c>
      <c r="AH153" s="232">
        <f t="shared" si="246"/>
        <v>380.69</v>
      </c>
      <c r="AI153" s="232">
        <f t="shared" si="247"/>
        <v>204.29</v>
      </c>
      <c r="AJ153" s="232"/>
      <c r="AK153" s="245"/>
      <c r="AL153" s="178"/>
      <c r="AM153" s="178"/>
      <c r="AN153" s="178"/>
    </row>
    <row r="154" spans="1:40" s="176" customFormat="1" ht="13.5" hidden="1">
      <c r="A154" s="186">
        <v>69</v>
      </c>
      <c r="B154" s="186"/>
      <c r="C154" s="193" t="s">
        <v>223</v>
      </c>
      <c r="D154" s="193" t="s">
        <v>164</v>
      </c>
      <c r="E154" s="249">
        <v>1680</v>
      </c>
      <c r="F154" s="250">
        <v>0</v>
      </c>
      <c r="G154" s="250">
        <v>0</v>
      </c>
      <c r="H154" s="250"/>
      <c r="I154" s="250"/>
      <c r="J154" s="250">
        <v>264</v>
      </c>
      <c r="K154" s="195"/>
      <c r="L154" s="195"/>
      <c r="M154" s="218">
        <f t="shared" si="230"/>
        <v>1944</v>
      </c>
      <c r="N154" s="216">
        <f t="shared" si="231"/>
        <v>1680</v>
      </c>
      <c r="O154" s="251">
        <f t="shared" si="232"/>
        <v>580.1</v>
      </c>
      <c r="P154" s="251">
        <f t="shared" si="233"/>
        <v>308.18</v>
      </c>
      <c r="Q154" s="251">
        <f t="shared" si="234"/>
        <v>18.13</v>
      </c>
      <c r="R154" s="251">
        <f t="shared" si="235"/>
        <v>11.6</v>
      </c>
      <c r="S154" s="251"/>
      <c r="T154" s="252"/>
      <c r="U154" s="253">
        <f t="shared" si="236"/>
        <v>38.88</v>
      </c>
      <c r="V154" s="253"/>
      <c r="W154" s="254"/>
      <c r="X154" s="253">
        <f t="shared" si="237"/>
        <v>2900.8900000000012</v>
      </c>
      <c r="Y154" s="254">
        <v>2500</v>
      </c>
      <c r="Z154" s="255">
        <f t="shared" si="238"/>
        <v>39410.680000000015</v>
      </c>
      <c r="AA154" s="232">
        <f t="shared" si="239"/>
        <v>134.4</v>
      </c>
      <c r="AB154" s="232">
        <f t="shared" si="240"/>
        <v>33.6</v>
      </c>
      <c r="AC154" s="232">
        <f t="shared" si="241"/>
        <v>8.4</v>
      </c>
      <c r="AD154" s="232">
        <f t="shared" si="242"/>
        <v>176.4</v>
      </c>
      <c r="AE154" s="232">
        <f t="shared" si="243"/>
        <v>290.05</v>
      </c>
      <c r="AF154" s="232">
        <f t="shared" si="244"/>
        <v>72.51</v>
      </c>
      <c r="AG154" s="232">
        <f t="shared" si="245"/>
        <v>18.13</v>
      </c>
      <c r="AH154" s="232">
        <f t="shared" si="246"/>
        <v>380.69</v>
      </c>
      <c r="AI154" s="232">
        <f t="shared" si="247"/>
        <v>204.29</v>
      </c>
      <c r="AJ154" s="232"/>
      <c r="AK154" s="245"/>
      <c r="AL154" s="178"/>
      <c r="AM154" s="178"/>
      <c r="AN154" s="178"/>
    </row>
    <row r="155" spans="1:40" s="176" customFormat="1" ht="13.5" hidden="1">
      <c r="A155" s="186">
        <v>70</v>
      </c>
      <c r="B155" s="186"/>
      <c r="C155" s="193" t="s">
        <v>224</v>
      </c>
      <c r="D155" s="193" t="s">
        <v>164</v>
      </c>
      <c r="E155" s="249">
        <v>1680</v>
      </c>
      <c r="F155" s="250">
        <v>0</v>
      </c>
      <c r="G155" s="250">
        <v>0</v>
      </c>
      <c r="H155" s="250"/>
      <c r="I155" s="250"/>
      <c r="J155" s="250">
        <v>264</v>
      </c>
      <c r="K155" s="195"/>
      <c r="L155" s="195"/>
      <c r="M155" s="218">
        <f t="shared" si="230"/>
        <v>1944</v>
      </c>
      <c r="N155" s="216">
        <f t="shared" si="231"/>
        <v>1680</v>
      </c>
      <c r="O155" s="251">
        <f t="shared" si="232"/>
        <v>580.1</v>
      </c>
      <c r="P155" s="251">
        <f t="shared" si="233"/>
        <v>308.18</v>
      </c>
      <c r="Q155" s="251">
        <f t="shared" si="234"/>
        <v>18.13</v>
      </c>
      <c r="R155" s="251">
        <f t="shared" si="235"/>
        <v>11.6</v>
      </c>
      <c r="S155" s="251"/>
      <c r="T155" s="252"/>
      <c r="U155" s="253">
        <f t="shared" si="236"/>
        <v>38.88</v>
      </c>
      <c r="V155" s="253"/>
      <c r="W155" s="254"/>
      <c r="X155" s="253">
        <f t="shared" si="237"/>
        <v>2900.8900000000012</v>
      </c>
      <c r="Y155" s="254">
        <v>2500</v>
      </c>
      <c r="Z155" s="255">
        <f t="shared" si="238"/>
        <v>39410.680000000015</v>
      </c>
      <c r="AA155" s="232">
        <f t="shared" si="239"/>
        <v>134.4</v>
      </c>
      <c r="AB155" s="232">
        <f t="shared" si="240"/>
        <v>33.6</v>
      </c>
      <c r="AC155" s="232">
        <f t="shared" si="241"/>
        <v>8.4</v>
      </c>
      <c r="AD155" s="232">
        <f t="shared" si="242"/>
        <v>176.4</v>
      </c>
      <c r="AE155" s="232">
        <f t="shared" si="243"/>
        <v>290.05</v>
      </c>
      <c r="AF155" s="232">
        <f t="shared" si="244"/>
        <v>72.51</v>
      </c>
      <c r="AG155" s="232">
        <f t="shared" si="245"/>
        <v>18.13</v>
      </c>
      <c r="AH155" s="232">
        <f t="shared" si="246"/>
        <v>380.69</v>
      </c>
      <c r="AI155" s="232">
        <f t="shared" si="247"/>
        <v>204.29</v>
      </c>
      <c r="AJ155" s="232"/>
      <c r="AK155" s="245"/>
      <c r="AL155" s="178"/>
      <c r="AM155" s="178"/>
      <c r="AN155" s="178"/>
    </row>
    <row r="156" spans="1:40" s="176" customFormat="1" ht="13.5" hidden="1">
      <c r="A156" s="186">
        <v>71</v>
      </c>
      <c r="B156" s="186"/>
      <c r="C156" s="193" t="s">
        <v>225</v>
      </c>
      <c r="D156" s="193" t="s">
        <v>164</v>
      </c>
      <c r="E156" s="249">
        <v>1680</v>
      </c>
      <c r="F156" s="250">
        <v>0</v>
      </c>
      <c r="G156" s="250">
        <v>0</v>
      </c>
      <c r="H156" s="250"/>
      <c r="I156" s="250"/>
      <c r="J156" s="250">
        <v>264</v>
      </c>
      <c r="K156" s="195"/>
      <c r="L156" s="195"/>
      <c r="M156" s="218">
        <f t="shared" si="230"/>
        <v>1944</v>
      </c>
      <c r="N156" s="216">
        <f t="shared" si="231"/>
        <v>1680</v>
      </c>
      <c r="O156" s="251">
        <f t="shared" si="232"/>
        <v>580.1</v>
      </c>
      <c r="P156" s="251">
        <f t="shared" si="233"/>
        <v>308.18</v>
      </c>
      <c r="Q156" s="251">
        <f t="shared" si="234"/>
        <v>18.13</v>
      </c>
      <c r="R156" s="251">
        <f t="shared" si="235"/>
        <v>11.6</v>
      </c>
      <c r="S156" s="251"/>
      <c r="T156" s="252"/>
      <c r="U156" s="253">
        <f t="shared" si="236"/>
        <v>38.88</v>
      </c>
      <c r="V156" s="253"/>
      <c r="W156" s="254"/>
      <c r="X156" s="253">
        <f t="shared" si="237"/>
        <v>2900.8900000000012</v>
      </c>
      <c r="Y156" s="254">
        <v>2500</v>
      </c>
      <c r="Z156" s="255">
        <f t="shared" si="238"/>
        <v>39410.680000000015</v>
      </c>
      <c r="AA156" s="232">
        <f t="shared" si="239"/>
        <v>134.4</v>
      </c>
      <c r="AB156" s="232">
        <f t="shared" si="240"/>
        <v>33.6</v>
      </c>
      <c r="AC156" s="232">
        <f t="shared" si="241"/>
        <v>8.4</v>
      </c>
      <c r="AD156" s="232">
        <f t="shared" si="242"/>
        <v>176.4</v>
      </c>
      <c r="AE156" s="232">
        <f t="shared" si="243"/>
        <v>290.05</v>
      </c>
      <c r="AF156" s="232">
        <f t="shared" si="244"/>
        <v>72.51</v>
      </c>
      <c r="AG156" s="232">
        <f t="shared" si="245"/>
        <v>18.13</v>
      </c>
      <c r="AH156" s="232">
        <f t="shared" si="246"/>
        <v>380.69</v>
      </c>
      <c r="AI156" s="232">
        <f t="shared" si="247"/>
        <v>204.29</v>
      </c>
      <c r="AJ156" s="232"/>
      <c r="AK156" s="245"/>
      <c r="AL156" s="178"/>
      <c r="AM156" s="178"/>
      <c r="AN156" s="178"/>
    </row>
    <row r="157" spans="1:40" s="176" customFormat="1" ht="13.5" hidden="1">
      <c r="A157" s="186">
        <v>72</v>
      </c>
      <c r="B157" s="186"/>
      <c r="C157" s="193"/>
      <c r="D157" s="193"/>
      <c r="E157" s="249">
        <v>1680</v>
      </c>
      <c r="F157" s="250">
        <v>0</v>
      </c>
      <c r="G157" s="250">
        <v>0</v>
      </c>
      <c r="H157" s="250"/>
      <c r="I157" s="250"/>
      <c r="J157" s="250">
        <v>264</v>
      </c>
      <c r="K157" s="195"/>
      <c r="L157" s="195"/>
      <c r="M157" s="218">
        <f t="shared" si="230"/>
        <v>1944</v>
      </c>
      <c r="N157" s="216">
        <f t="shared" si="231"/>
        <v>1680</v>
      </c>
      <c r="O157" s="251">
        <f t="shared" si="232"/>
        <v>580.1</v>
      </c>
      <c r="P157" s="251">
        <f t="shared" si="233"/>
        <v>308.18</v>
      </c>
      <c r="Q157" s="251">
        <f t="shared" si="234"/>
        <v>18.13</v>
      </c>
      <c r="R157" s="251">
        <f t="shared" si="235"/>
        <v>11.6</v>
      </c>
      <c r="S157" s="251"/>
      <c r="T157" s="252"/>
      <c r="U157" s="253">
        <f t="shared" si="236"/>
        <v>38.88</v>
      </c>
      <c r="V157" s="253"/>
      <c r="W157" s="254"/>
      <c r="X157" s="253">
        <f t="shared" si="237"/>
        <v>2900.8900000000012</v>
      </c>
      <c r="Y157" s="254">
        <v>2501</v>
      </c>
      <c r="Z157" s="255">
        <f t="shared" si="238"/>
        <v>39411.680000000015</v>
      </c>
      <c r="AA157" s="232">
        <f t="shared" si="239"/>
        <v>134.4</v>
      </c>
      <c r="AB157" s="232">
        <f t="shared" si="240"/>
        <v>33.6</v>
      </c>
      <c r="AC157" s="232">
        <f t="shared" si="241"/>
        <v>8.4</v>
      </c>
      <c r="AD157" s="232">
        <f t="shared" si="242"/>
        <v>176.4</v>
      </c>
      <c r="AE157" s="232">
        <f t="shared" si="243"/>
        <v>290.05</v>
      </c>
      <c r="AF157" s="232">
        <f t="shared" si="244"/>
        <v>72.51</v>
      </c>
      <c r="AG157" s="232">
        <f t="shared" si="245"/>
        <v>18.13</v>
      </c>
      <c r="AH157" s="232">
        <f t="shared" si="246"/>
        <v>380.69</v>
      </c>
      <c r="AI157" s="232">
        <f t="shared" si="247"/>
        <v>204.29</v>
      </c>
      <c r="AJ157" s="232"/>
      <c r="AK157" s="245"/>
      <c r="AL157" s="178"/>
      <c r="AM157" s="178"/>
      <c r="AN157" s="178"/>
    </row>
    <row r="158" spans="1:40" s="176" customFormat="1" ht="13.5" hidden="1">
      <c r="A158" s="186">
        <v>73</v>
      </c>
      <c r="B158" s="186"/>
      <c r="C158" s="193"/>
      <c r="D158" s="193"/>
      <c r="E158" s="249">
        <v>1680</v>
      </c>
      <c r="F158" s="250">
        <v>0</v>
      </c>
      <c r="G158" s="250">
        <v>0</v>
      </c>
      <c r="H158" s="250"/>
      <c r="I158" s="250"/>
      <c r="J158" s="250">
        <v>264</v>
      </c>
      <c r="K158" s="195"/>
      <c r="L158" s="195"/>
      <c r="M158" s="218">
        <f t="shared" si="230"/>
        <v>1944</v>
      </c>
      <c r="N158" s="216">
        <f t="shared" si="231"/>
        <v>1680</v>
      </c>
      <c r="O158" s="251">
        <f t="shared" si="232"/>
        <v>580.1</v>
      </c>
      <c r="P158" s="251">
        <f t="shared" si="233"/>
        <v>308.18</v>
      </c>
      <c r="Q158" s="251">
        <f t="shared" si="234"/>
        <v>18.13</v>
      </c>
      <c r="R158" s="251">
        <f t="shared" si="235"/>
        <v>11.6</v>
      </c>
      <c r="S158" s="251"/>
      <c r="T158" s="252"/>
      <c r="U158" s="253">
        <f t="shared" si="236"/>
        <v>38.88</v>
      </c>
      <c r="V158" s="253"/>
      <c r="W158" s="254"/>
      <c r="X158" s="253">
        <f t="shared" si="237"/>
        <v>2900.8900000000012</v>
      </c>
      <c r="Y158" s="254">
        <v>2502</v>
      </c>
      <c r="Z158" s="255">
        <f t="shared" si="238"/>
        <v>39412.680000000015</v>
      </c>
      <c r="AA158" s="232">
        <f t="shared" si="239"/>
        <v>134.4</v>
      </c>
      <c r="AB158" s="232">
        <f t="shared" si="240"/>
        <v>33.6</v>
      </c>
      <c r="AC158" s="232">
        <f t="shared" si="241"/>
        <v>8.4</v>
      </c>
      <c r="AD158" s="232">
        <f t="shared" si="242"/>
        <v>176.4</v>
      </c>
      <c r="AE158" s="232">
        <f t="shared" si="243"/>
        <v>290.05</v>
      </c>
      <c r="AF158" s="232">
        <f t="shared" si="244"/>
        <v>72.51</v>
      </c>
      <c r="AG158" s="232">
        <f t="shared" si="245"/>
        <v>18.13</v>
      </c>
      <c r="AH158" s="232">
        <f t="shared" si="246"/>
        <v>380.69</v>
      </c>
      <c r="AI158" s="232">
        <f t="shared" si="247"/>
        <v>204.29</v>
      </c>
      <c r="AJ158" s="232"/>
      <c r="AK158" s="245"/>
      <c r="AL158" s="178"/>
      <c r="AM158" s="178"/>
      <c r="AN158" s="178"/>
    </row>
    <row r="159" spans="1:40" s="176" customFormat="1" ht="13.5" hidden="1">
      <c r="A159" s="186">
        <v>74</v>
      </c>
      <c r="B159" s="186"/>
      <c r="C159" s="193"/>
      <c r="D159" s="193"/>
      <c r="E159" s="249">
        <v>1680</v>
      </c>
      <c r="F159" s="250">
        <v>0</v>
      </c>
      <c r="G159" s="250">
        <v>0</v>
      </c>
      <c r="H159" s="250"/>
      <c r="I159" s="250"/>
      <c r="J159" s="250">
        <v>264</v>
      </c>
      <c r="K159" s="195"/>
      <c r="L159" s="195"/>
      <c r="M159" s="218">
        <f t="shared" si="230"/>
        <v>1944</v>
      </c>
      <c r="N159" s="216">
        <f t="shared" si="231"/>
        <v>1680</v>
      </c>
      <c r="O159" s="251">
        <f t="shared" si="232"/>
        <v>580.1</v>
      </c>
      <c r="P159" s="251">
        <f t="shared" si="233"/>
        <v>308.18</v>
      </c>
      <c r="Q159" s="251">
        <f t="shared" si="234"/>
        <v>18.13</v>
      </c>
      <c r="R159" s="251">
        <f t="shared" si="235"/>
        <v>11.6</v>
      </c>
      <c r="S159" s="251"/>
      <c r="T159" s="252"/>
      <c r="U159" s="253">
        <f t="shared" si="236"/>
        <v>38.88</v>
      </c>
      <c r="V159" s="253"/>
      <c r="W159" s="254"/>
      <c r="X159" s="253">
        <f t="shared" si="237"/>
        <v>2900.8900000000012</v>
      </c>
      <c r="Y159" s="254">
        <v>2503</v>
      </c>
      <c r="Z159" s="255">
        <f t="shared" si="238"/>
        <v>39413.680000000015</v>
      </c>
      <c r="AA159" s="232">
        <f t="shared" si="239"/>
        <v>134.4</v>
      </c>
      <c r="AB159" s="232">
        <f t="shared" si="240"/>
        <v>33.6</v>
      </c>
      <c r="AC159" s="232">
        <f t="shared" si="241"/>
        <v>8.4</v>
      </c>
      <c r="AD159" s="232">
        <f t="shared" si="242"/>
        <v>176.4</v>
      </c>
      <c r="AE159" s="232">
        <f t="shared" si="243"/>
        <v>290.05</v>
      </c>
      <c r="AF159" s="232">
        <f t="shared" si="244"/>
        <v>72.51</v>
      </c>
      <c r="AG159" s="232">
        <f t="shared" si="245"/>
        <v>18.13</v>
      </c>
      <c r="AH159" s="232">
        <f t="shared" si="246"/>
        <v>380.69</v>
      </c>
      <c r="AI159" s="232">
        <f t="shared" si="247"/>
        <v>204.29</v>
      </c>
      <c r="AJ159" s="232"/>
      <c r="AK159" s="245"/>
      <c r="AL159" s="178"/>
      <c r="AM159" s="178"/>
      <c r="AN159" s="178"/>
    </row>
    <row r="160" spans="1:40" s="176" customFormat="1" ht="13.5" hidden="1">
      <c r="A160" s="186">
        <v>75</v>
      </c>
      <c r="B160" s="186"/>
      <c r="C160" s="193" t="s">
        <v>226</v>
      </c>
      <c r="D160" s="193" t="s">
        <v>174</v>
      </c>
      <c r="E160" s="249">
        <v>1680</v>
      </c>
      <c r="F160" s="250">
        <v>0</v>
      </c>
      <c r="G160" s="250">
        <v>0</v>
      </c>
      <c r="H160" s="250"/>
      <c r="I160" s="250"/>
      <c r="J160" s="250">
        <v>264</v>
      </c>
      <c r="K160" s="195"/>
      <c r="L160" s="195"/>
      <c r="M160" s="218">
        <f t="shared" si="230"/>
        <v>1944</v>
      </c>
      <c r="N160" s="216">
        <f t="shared" si="231"/>
        <v>1680</v>
      </c>
      <c r="O160" s="251">
        <f t="shared" si="232"/>
        <v>580.1</v>
      </c>
      <c r="P160" s="251">
        <f t="shared" si="233"/>
        <v>308.18</v>
      </c>
      <c r="Q160" s="251">
        <f t="shared" si="234"/>
        <v>18.13</v>
      </c>
      <c r="R160" s="251">
        <f t="shared" si="235"/>
        <v>11.6</v>
      </c>
      <c r="S160" s="251"/>
      <c r="T160" s="252"/>
      <c r="U160" s="253">
        <f t="shared" si="236"/>
        <v>38.88</v>
      </c>
      <c r="V160" s="253"/>
      <c r="W160" s="254"/>
      <c r="X160" s="253">
        <f t="shared" si="237"/>
        <v>2900.8900000000012</v>
      </c>
      <c r="Y160" s="254">
        <v>2500</v>
      </c>
      <c r="Z160" s="255">
        <f t="shared" si="238"/>
        <v>39410.680000000015</v>
      </c>
      <c r="AA160" s="232">
        <f t="shared" si="239"/>
        <v>134.4</v>
      </c>
      <c r="AB160" s="232">
        <f t="shared" si="240"/>
        <v>33.6</v>
      </c>
      <c r="AC160" s="232">
        <f t="shared" si="241"/>
        <v>8.4</v>
      </c>
      <c r="AD160" s="232">
        <f t="shared" si="242"/>
        <v>176.4</v>
      </c>
      <c r="AE160" s="232">
        <f t="shared" si="243"/>
        <v>290.05</v>
      </c>
      <c r="AF160" s="232">
        <f t="shared" si="244"/>
        <v>72.51</v>
      </c>
      <c r="AG160" s="232">
        <f t="shared" si="245"/>
        <v>18.13</v>
      </c>
      <c r="AH160" s="232">
        <f t="shared" si="246"/>
        <v>380.69</v>
      </c>
      <c r="AI160" s="232">
        <f t="shared" si="247"/>
        <v>204.29</v>
      </c>
      <c r="AJ160" s="232"/>
      <c r="AK160" s="245"/>
      <c r="AL160" s="178"/>
      <c r="AM160" s="178"/>
      <c r="AN160" s="178"/>
    </row>
    <row r="161" spans="1:40" s="176" customFormat="1" ht="13.5" hidden="1">
      <c r="A161" s="186">
        <v>76</v>
      </c>
      <c r="B161" s="186"/>
      <c r="C161" s="193" t="s">
        <v>227</v>
      </c>
      <c r="D161" s="193" t="s">
        <v>174</v>
      </c>
      <c r="E161" s="249">
        <v>1680</v>
      </c>
      <c r="F161" s="250">
        <v>0</v>
      </c>
      <c r="G161" s="250">
        <v>0</v>
      </c>
      <c r="H161" s="250"/>
      <c r="I161" s="250"/>
      <c r="J161" s="250">
        <v>264</v>
      </c>
      <c r="K161" s="195"/>
      <c r="L161" s="195"/>
      <c r="M161" s="218">
        <f t="shared" si="230"/>
        <v>1944</v>
      </c>
      <c r="N161" s="216">
        <f t="shared" si="231"/>
        <v>1680</v>
      </c>
      <c r="O161" s="251">
        <f t="shared" si="232"/>
        <v>580.1</v>
      </c>
      <c r="P161" s="251">
        <f t="shared" si="233"/>
        <v>308.18</v>
      </c>
      <c r="Q161" s="251">
        <f t="shared" si="234"/>
        <v>18.13</v>
      </c>
      <c r="R161" s="251">
        <f t="shared" si="235"/>
        <v>11.6</v>
      </c>
      <c r="S161" s="251"/>
      <c r="T161" s="252"/>
      <c r="U161" s="253">
        <f t="shared" si="236"/>
        <v>38.88</v>
      </c>
      <c r="V161" s="253"/>
      <c r="W161" s="254"/>
      <c r="X161" s="253">
        <f t="shared" si="237"/>
        <v>2900.8900000000012</v>
      </c>
      <c r="Y161" s="254">
        <v>2500</v>
      </c>
      <c r="Z161" s="255">
        <f t="shared" si="238"/>
        <v>39410.680000000015</v>
      </c>
      <c r="AA161" s="232">
        <f t="shared" si="239"/>
        <v>134.4</v>
      </c>
      <c r="AB161" s="232">
        <f t="shared" si="240"/>
        <v>33.6</v>
      </c>
      <c r="AC161" s="232">
        <f t="shared" si="241"/>
        <v>8.4</v>
      </c>
      <c r="AD161" s="232">
        <f t="shared" si="242"/>
        <v>176.4</v>
      </c>
      <c r="AE161" s="232">
        <f t="shared" si="243"/>
        <v>290.05</v>
      </c>
      <c r="AF161" s="232">
        <f t="shared" si="244"/>
        <v>72.51</v>
      </c>
      <c r="AG161" s="232">
        <f t="shared" si="245"/>
        <v>18.13</v>
      </c>
      <c r="AH161" s="232">
        <f t="shared" si="246"/>
        <v>380.69</v>
      </c>
      <c r="AI161" s="232">
        <f t="shared" si="247"/>
        <v>204.29</v>
      </c>
      <c r="AJ161" s="232"/>
      <c r="AK161" s="245"/>
      <c r="AL161" s="178"/>
      <c r="AM161" s="178"/>
      <c r="AN161" s="178"/>
    </row>
    <row r="162" spans="1:40" s="176" customFormat="1" ht="13.5" hidden="1">
      <c r="A162" s="186">
        <v>77</v>
      </c>
      <c r="B162" s="186"/>
      <c r="C162" s="193" t="s">
        <v>228</v>
      </c>
      <c r="D162" s="193" t="s">
        <v>229</v>
      </c>
      <c r="E162" s="249">
        <v>1680</v>
      </c>
      <c r="F162" s="250">
        <v>0</v>
      </c>
      <c r="G162" s="250">
        <v>0</v>
      </c>
      <c r="H162" s="250"/>
      <c r="I162" s="250"/>
      <c r="J162" s="250">
        <v>264</v>
      </c>
      <c r="K162" s="195"/>
      <c r="L162" s="195"/>
      <c r="M162" s="218">
        <f t="shared" si="230"/>
        <v>1944</v>
      </c>
      <c r="N162" s="216">
        <f t="shared" si="231"/>
        <v>1680</v>
      </c>
      <c r="O162" s="251">
        <f t="shared" si="232"/>
        <v>580.1</v>
      </c>
      <c r="P162" s="251">
        <f t="shared" si="233"/>
        <v>308.18</v>
      </c>
      <c r="Q162" s="251">
        <f t="shared" si="234"/>
        <v>18.13</v>
      </c>
      <c r="R162" s="251">
        <f t="shared" si="235"/>
        <v>11.6</v>
      </c>
      <c r="S162" s="251"/>
      <c r="T162" s="252"/>
      <c r="U162" s="253">
        <f t="shared" si="236"/>
        <v>38.88</v>
      </c>
      <c r="V162" s="253"/>
      <c r="W162" s="254"/>
      <c r="X162" s="253">
        <f t="shared" si="237"/>
        <v>2900.8900000000012</v>
      </c>
      <c r="Y162" s="254">
        <v>2500</v>
      </c>
      <c r="Z162" s="255">
        <f t="shared" si="238"/>
        <v>39410.680000000015</v>
      </c>
      <c r="AA162" s="232">
        <f t="shared" si="239"/>
        <v>134.4</v>
      </c>
      <c r="AB162" s="232">
        <f t="shared" si="240"/>
        <v>33.6</v>
      </c>
      <c r="AC162" s="232">
        <f t="shared" si="241"/>
        <v>8.4</v>
      </c>
      <c r="AD162" s="232">
        <f t="shared" si="242"/>
        <v>176.4</v>
      </c>
      <c r="AE162" s="232">
        <f t="shared" si="243"/>
        <v>290.05</v>
      </c>
      <c r="AF162" s="232">
        <f t="shared" si="244"/>
        <v>72.51</v>
      </c>
      <c r="AG162" s="232">
        <f t="shared" si="245"/>
        <v>18.13</v>
      </c>
      <c r="AH162" s="232">
        <f t="shared" si="246"/>
        <v>380.69</v>
      </c>
      <c r="AI162" s="232">
        <f t="shared" si="247"/>
        <v>204.29</v>
      </c>
      <c r="AJ162" s="232"/>
      <c r="AK162" s="245"/>
      <c r="AL162" s="178"/>
      <c r="AM162" s="178"/>
      <c r="AN162" s="178"/>
    </row>
    <row r="163" spans="1:40" s="176" customFormat="1" ht="13.5" hidden="1">
      <c r="A163" s="186">
        <v>78</v>
      </c>
      <c r="B163" s="186"/>
      <c r="C163" s="193" t="s">
        <v>230</v>
      </c>
      <c r="D163" s="193" t="s">
        <v>174</v>
      </c>
      <c r="E163" s="249">
        <v>1680</v>
      </c>
      <c r="F163" s="250">
        <v>0</v>
      </c>
      <c r="G163" s="250">
        <v>0</v>
      </c>
      <c r="H163" s="250"/>
      <c r="I163" s="250"/>
      <c r="J163" s="250">
        <v>264</v>
      </c>
      <c r="K163" s="195"/>
      <c r="L163" s="195"/>
      <c r="M163" s="218">
        <f t="shared" si="230"/>
        <v>1944</v>
      </c>
      <c r="N163" s="216">
        <f t="shared" si="231"/>
        <v>1680</v>
      </c>
      <c r="O163" s="251">
        <f t="shared" si="232"/>
        <v>580.1</v>
      </c>
      <c r="P163" s="251">
        <f t="shared" si="233"/>
        <v>308.18</v>
      </c>
      <c r="Q163" s="251">
        <f t="shared" si="234"/>
        <v>18.13</v>
      </c>
      <c r="R163" s="251">
        <f t="shared" si="235"/>
        <v>11.6</v>
      </c>
      <c r="S163" s="251"/>
      <c r="T163" s="252"/>
      <c r="U163" s="253">
        <f t="shared" si="236"/>
        <v>38.88</v>
      </c>
      <c r="V163" s="253"/>
      <c r="W163" s="254"/>
      <c r="X163" s="253">
        <f t="shared" si="237"/>
        <v>2900.8900000000012</v>
      </c>
      <c r="Y163" s="254">
        <v>2500</v>
      </c>
      <c r="Z163" s="255">
        <f t="shared" si="238"/>
        <v>39410.680000000015</v>
      </c>
      <c r="AA163" s="232">
        <f t="shared" si="239"/>
        <v>134.4</v>
      </c>
      <c r="AB163" s="232">
        <f t="shared" si="240"/>
        <v>33.6</v>
      </c>
      <c r="AC163" s="232">
        <f t="shared" si="241"/>
        <v>8.4</v>
      </c>
      <c r="AD163" s="232">
        <f t="shared" si="242"/>
        <v>176.4</v>
      </c>
      <c r="AE163" s="232">
        <f t="shared" si="243"/>
        <v>290.05</v>
      </c>
      <c r="AF163" s="232">
        <f t="shared" si="244"/>
        <v>72.51</v>
      </c>
      <c r="AG163" s="232">
        <f t="shared" si="245"/>
        <v>18.13</v>
      </c>
      <c r="AH163" s="232">
        <f t="shared" si="246"/>
        <v>380.69</v>
      </c>
      <c r="AI163" s="232">
        <f t="shared" si="247"/>
        <v>204.29</v>
      </c>
      <c r="AJ163" s="232"/>
      <c r="AK163" s="245"/>
      <c r="AL163" s="178"/>
      <c r="AM163" s="178"/>
      <c r="AN163" s="178"/>
    </row>
    <row r="164" spans="1:40" s="176" customFormat="1" ht="13.5" hidden="1">
      <c r="A164" s="186">
        <v>79</v>
      </c>
      <c r="B164" s="186"/>
      <c r="C164" s="193" t="s">
        <v>231</v>
      </c>
      <c r="D164" s="193" t="s">
        <v>164</v>
      </c>
      <c r="E164" s="249">
        <v>1680</v>
      </c>
      <c r="F164" s="250">
        <v>0</v>
      </c>
      <c r="G164" s="250">
        <v>0</v>
      </c>
      <c r="H164" s="250"/>
      <c r="I164" s="250"/>
      <c r="J164" s="250">
        <v>264</v>
      </c>
      <c r="K164" s="195"/>
      <c r="L164" s="195"/>
      <c r="M164" s="218">
        <f t="shared" si="230"/>
        <v>1944</v>
      </c>
      <c r="N164" s="216">
        <f t="shared" si="231"/>
        <v>1680</v>
      </c>
      <c r="O164" s="251">
        <f t="shared" si="232"/>
        <v>580.1</v>
      </c>
      <c r="P164" s="251">
        <f t="shared" si="233"/>
        <v>308.18</v>
      </c>
      <c r="Q164" s="251">
        <f t="shared" si="234"/>
        <v>18.13</v>
      </c>
      <c r="R164" s="251">
        <f t="shared" si="235"/>
        <v>11.6</v>
      </c>
      <c r="S164" s="251"/>
      <c r="T164" s="252"/>
      <c r="U164" s="253">
        <f t="shared" si="236"/>
        <v>38.88</v>
      </c>
      <c r="V164" s="253"/>
      <c r="W164" s="254"/>
      <c r="X164" s="253">
        <f t="shared" si="237"/>
        <v>2900.8900000000012</v>
      </c>
      <c r="Y164" s="254">
        <v>2500</v>
      </c>
      <c r="Z164" s="255">
        <f t="shared" si="238"/>
        <v>39410.680000000015</v>
      </c>
      <c r="AA164" s="232">
        <f t="shared" si="239"/>
        <v>134.4</v>
      </c>
      <c r="AB164" s="232">
        <f t="shared" si="240"/>
        <v>33.6</v>
      </c>
      <c r="AC164" s="232">
        <f t="shared" si="241"/>
        <v>8.4</v>
      </c>
      <c r="AD164" s="232">
        <f t="shared" si="242"/>
        <v>176.4</v>
      </c>
      <c r="AE164" s="232">
        <f t="shared" si="243"/>
        <v>290.05</v>
      </c>
      <c r="AF164" s="232">
        <f t="shared" si="244"/>
        <v>72.51</v>
      </c>
      <c r="AG164" s="232">
        <f t="shared" si="245"/>
        <v>18.13</v>
      </c>
      <c r="AH164" s="232">
        <f t="shared" si="246"/>
        <v>380.69</v>
      </c>
      <c r="AI164" s="232">
        <f t="shared" si="247"/>
        <v>204.29</v>
      </c>
      <c r="AJ164" s="232"/>
      <c r="AK164" s="245"/>
      <c r="AL164" s="178"/>
      <c r="AM164" s="178"/>
      <c r="AN164" s="178"/>
    </row>
    <row r="165" spans="1:40" s="176" customFormat="1" ht="13.5" hidden="1">
      <c r="A165" s="186">
        <v>80</v>
      </c>
      <c r="B165" s="186"/>
      <c r="C165" s="193" t="s">
        <v>232</v>
      </c>
      <c r="D165" s="193" t="s">
        <v>164</v>
      </c>
      <c r="E165" s="249">
        <v>1680</v>
      </c>
      <c r="F165" s="250">
        <v>0</v>
      </c>
      <c r="G165" s="250">
        <v>0</v>
      </c>
      <c r="H165" s="250"/>
      <c r="I165" s="250"/>
      <c r="J165" s="250">
        <v>264</v>
      </c>
      <c r="K165" s="195"/>
      <c r="L165" s="195"/>
      <c r="M165" s="218">
        <f t="shared" si="230"/>
        <v>1944</v>
      </c>
      <c r="N165" s="216">
        <f t="shared" si="231"/>
        <v>1680</v>
      </c>
      <c r="O165" s="251">
        <f t="shared" si="232"/>
        <v>580.1</v>
      </c>
      <c r="P165" s="251">
        <f t="shared" si="233"/>
        <v>308.18</v>
      </c>
      <c r="Q165" s="251">
        <f t="shared" si="234"/>
        <v>18.13</v>
      </c>
      <c r="R165" s="251">
        <f t="shared" si="235"/>
        <v>11.6</v>
      </c>
      <c r="S165" s="251"/>
      <c r="T165" s="252"/>
      <c r="U165" s="253">
        <f t="shared" si="236"/>
        <v>38.88</v>
      </c>
      <c r="V165" s="253"/>
      <c r="W165" s="254"/>
      <c r="X165" s="253">
        <f t="shared" si="237"/>
        <v>2900.8900000000012</v>
      </c>
      <c r="Y165" s="254">
        <v>2500</v>
      </c>
      <c r="Z165" s="255">
        <f t="shared" si="238"/>
        <v>39410.680000000015</v>
      </c>
      <c r="AA165" s="232">
        <f t="shared" si="239"/>
        <v>134.4</v>
      </c>
      <c r="AB165" s="232">
        <f t="shared" si="240"/>
        <v>33.6</v>
      </c>
      <c r="AC165" s="232">
        <f t="shared" si="241"/>
        <v>8.4</v>
      </c>
      <c r="AD165" s="232">
        <f t="shared" si="242"/>
        <v>176.4</v>
      </c>
      <c r="AE165" s="232">
        <f t="shared" si="243"/>
        <v>290.05</v>
      </c>
      <c r="AF165" s="232">
        <f t="shared" si="244"/>
        <v>72.51</v>
      </c>
      <c r="AG165" s="232">
        <f t="shared" si="245"/>
        <v>18.13</v>
      </c>
      <c r="AH165" s="232">
        <f t="shared" si="246"/>
        <v>380.69</v>
      </c>
      <c r="AI165" s="232">
        <f t="shared" si="247"/>
        <v>204.29</v>
      </c>
      <c r="AJ165" s="232"/>
      <c r="AK165" s="245"/>
      <c r="AL165" s="178"/>
      <c r="AM165" s="178"/>
      <c r="AN165" s="178"/>
    </row>
    <row r="166" spans="1:37" s="178" customFormat="1" ht="13.5" hidden="1">
      <c r="A166" s="186">
        <v>81</v>
      </c>
      <c r="B166" s="186"/>
      <c r="C166" s="193" t="s">
        <v>233</v>
      </c>
      <c r="D166" s="193" t="s">
        <v>164</v>
      </c>
      <c r="E166" s="249">
        <v>1680</v>
      </c>
      <c r="F166" s="250">
        <v>0</v>
      </c>
      <c r="G166" s="250">
        <v>0</v>
      </c>
      <c r="H166" s="250"/>
      <c r="I166" s="250"/>
      <c r="J166" s="250">
        <v>264</v>
      </c>
      <c r="K166" s="195"/>
      <c r="L166" s="195"/>
      <c r="M166" s="218">
        <f t="shared" si="230"/>
        <v>1944</v>
      </c>
      <c r="N166" s="216">
        <f t="shared" si="231"/>
        <v>1680</v>
      </c>
      <c r="O166" s="251">
        <f t="shared" si="232"/>
        <v>580.1</v>
      </c>
      <c r="P166" s="251">
        <f t="shared" si="233"/>
        <v>308.18</v>
      </c>
      <c r="Q166" s="251">
        <f t="shared" si="234"/>
        <v>18.13</v>
      </c>
      <c r="R166" s="251">
        <f t="shared" si="235"/>
        <v>11.6</v>
      </c>
      <c r="S166" s="251"/>
      <c r="T166" s="252"/>
      <c r="U166" s="253">
        <f t="shared" si="236"/>
        <v>38.88</v>
      </c>
      <c r="V166" s="253"/>
      <c r="W166" s="254"/>
      <c r="X166" s="253">
        <f t="shared" si="237"/>
        <v>2900.8900000000012</v>
      </c>
      <c r="Y166" s="254">
        <v>2500</v>
      </c>
      <c r="Z166" s="255">
        <f t="shared" si="238"/>
        <v>39410.680000000015</v>
      </c>
      <c r="AA166" s="232">
        <f t="shared" si="239"/>
        <v>134.4</v>
      </c>
      <c r="AB166" s="232">
        <f t="shared" si="240"/>
        <v>33.6</v>
      </c>
      <c r="AC166" s="232">
        <f t="shared" si="241"/>
        <v>8.4</v>
      </c>
      <c r="AD166" s="232">
        <f t="shared" si="242"/>
        <v>176.4</v>
      </c>
      <c r="AE166" s="232">
        <f t="shared" si="243"/>
        <v>290.05</v>
      </c>
      <c r="AF166" s="232">
        <f t="shared" si="244"/>
        <v>72.51</v>
      </c>
      <c r="AG166" s="232">
        <f t="shared" si="245"/>
        <v>18.13</v>
      </c>
      <c r="AH166" s="232">
        <f t="shared" si="246"/>
        <v>380.69</v>
      </c>
      <c r="AI166" s="232">
        <f t="shared" si="247"/>
        <v>204.29</v>
      </c>
      <c r="AJ166" s="232"/>
      <c r="AK166" s="245"/>
    </row>
    <row r="167" spans="1:37" s="178" customFormat="1" ht="13.5" hidden="1">
      <c r="A167" s="186">
        <v>82</v>
      </c>
      <c r="B167" s="186"/>
      <c r="C167" s="193" t="s">
        <v>234</v>
      </c>
      <c r="D167" s="193" t="s">
        <v>235</v>
      </c>
      <c r="E167" s="249">
        <v>1500</v>
      </c>
      <c r="F167" s="250">
        <v>0</v>
      </c>
      <c r="G167" s="250">
        <v>0</v>
      </c>
      <c r="H167" s="250"/>
      <c r="I167" s="250"/>
      <c r="J167" s="250">
        <v>264</v>
      </c>
      <c r="K167" s="195"/>
      <c r="L167" s="195"/>
      <c r="M167" s="218">
        <f t="shared" si="230"/>
        <v>1764</v>
      </c>
      <c r="N167" s="216"/>
      <c r="O167" s="251"/>
      <c r="P167" s="251"/>
      <c r="Q167" s="251"/>
      <c r="R167" s="251"/>
      <c r="S167" s="251"/>
      <c r="T167" s="251"/>
      <c r="U167" s="251"/>
      <c r="V167" s="251"/>
      <c r="W167" s="254"/>
      <c r="X167" s="253">
        <f t="shared" si="237"/>
        <v>1764</v>
      </c>
      <c r="Y167" s="254">
        <v>2500</v>
      </c>
      <c r="Z167" s="255">
        <f t="shared" si="238"/>
        <v>25768</v>
      </c>
      <c r="AA167" s="232"/>
      <c r="AB167" s="232"/>
      <c r="AC167" s="232"/>
      <c r="AD167" s="232"/>
      <c r="AE167" s="232"/>
      <c r="AF167" s="232"/>
      <c r="AG167" s="232"/>
      <c r="AH167" s="232"/>
      <c r="AI167" s="232">
        <f>SUM(AI86:AI166)</f>
        <v>11267.24000000001</v>
      </c>
      <c r="AJ167" s="232"/>
      <c r="AK167" s="245"/>
    </row>
    <row r="168" spans="1:37" s="178" customFormat="1" ht="13.5" hidden="1">
      <c r="A168" s="186"/>
      <c r="B168" s="186"/>
      <c r="C168" s="193"/>
      <c r="D168" s="193"/>
      <c r="E168" s="249"/>
      <c r="F168" s="250"/>
      <c r="G168" s="250"/>
      <c r="H168" s="250"/>
      <c r="I168" s="250"/>
      <c r="J168" s="250"/>
      <c r="K168" s="195"/>
      <c r="L168" s="195"/>
      <c r="M168" s="218"/>
      <c r="N168" s="216"/>
      <c r="O168" s="251"/>
      <c r="P168" s="251"/>
      <c r="Q168" s="251"/>
      <c r="R168" s="251"/>
      <c r="S168" s="251"/>
      <c r="T168" s="251"/>
      <c r="U168" s="251"/>
      <c r="V168" s="251"/>
      <c r="W168" s="254"/>
      <c r="X168" s="253"/>
      <c r="Y168" s="254"/>
      <c r="Z168" s="253"/>
      <c r="AA168" s="232"/>
      <c r="AB168" s="232"/>
      <c r="AC168" s="232"/>
      <c r="AD168" s="232"/>
      <c r="AE168" s="232"/>
      <c r="AF168" s="232"/>
      <c r="AG168" s="232"/>
      <c r="AH168" s="232"/>
      <c r="AI168" s="232"/>
      <c r="AJ168" s="232"/>
      <c r="AK168" s="245"/>
    </row>
    <row r="169" spans="1:37" s="178" customFormat="1" ht="13.5" hidden="1">
      <c r="A169" s="186"/>
      <c r="B169" s="186"/>
      <c r="C169" s="193"/>
      <c r="D169" s="193"/>
      <c r="E169" s="249"/>
      <c r="F169" s="250"/>
      <c r="G169" s="250"/>
      <c r="H169" s="250"/>
      <c r="I169" s="250"/>
      <c r="J169" s="250"/>
      <c r="K169" s="195"/>
      <c r="L169" s="195"/>
      <c r="M169" s="218"/>
      <c r="N169" s="216"/>
      <c r="O169" s="251"/>
      <c r="P169" s="251"/>
      <c r="Q169" s="251"/>
      <c r="R169" s="251"/>
      <c r="S169" s="251"/>
      <c r="T169" s="251"/>
      <c r="U169" s="251"/>
      <c r="V169" s="251"/>
      <c r="W169" s="254"/>
      <c r="X169" s="253"/>
      <c r="Y169" s="254"/>
      <c r="Z169" s="253"/>
      <c r="AA169" s="232"/>
      <c r="AB169" s="232"/>
      <c r="AC169" s="232"/>
      <c r="AD169" s="232"/>
      <c r="AE169" s="232"/>
      <c r="AF169" s="232"/>
      <c r="AG169" s="232"/>
      <c r="AH169" s="232"/>
      <c r="AI169" s="232"/>
      <c r="AJ169" s="232"/>
      <c r="AK169" s="245"/>
    </row>
    <row r="170" spans="1:37" s="178" customFormat="1" ht="13.5" hidden="1">
      <c r="A170" s="186"/>
      <c r="B170" s="186"/>
      <c r="C170" s="193"/>
      <c r="D170" s="193"/>
      <c r="E170" s="249"/>
      <c r="F170" s="250"/>
      <c r="G170" s="250"/>
      <c r="H170" s="250"/>
      <c r="I170" s="250"/>
      <c r="J170" s="250"/>
      <c r="K170" s="195"/>
      <c r="L170" s="195"/>
      <c r="M170" s="218"/>
      <c r="N170" s="216"/>
      <c r="O170" s="251"/>
      <c r="P170" s="251"/>
      <c r="Q170" s="251"/>
      <c r="R170" s="251"/>
      <c r="S170" s="251"/>
      <c r="T170" s="251"/>
      <c r="U170" s="251"/>
      <c r="V170" s="251"/>
      <c r="W170" s="254"/>
      <c r="X170" s="253"/>
      <c r="Y170" s="254"/>
      <c r="Z170" s="253"/>
      <c r="AA170" s="232"/>
      <c r="AB170" s="232"/>
      <c r="AC170" s="232"/>
      <c r="AD170" s="232"/>
      <c r="AE170" s="232"/>
      <c r="AF170" s="232"/>
      <c r="AG170" s="232"/>
      <c r="AH170" s="232"/>
      <c r="AI170" s="232"/>
      <c r="AJ170" s="232"/>
      <c r="AK170" s="245"/>
    </row>
    <row r="171" spans="1:37" s="178" customFormat="1" ht="13.5" hidden="1">
      <c r="A171" s="186"/>
      <c r="B171" s="186"/>
      <c r="C171" s="193"/>
      <c r="D171" s="193"/>
      <c r="E171" s="249"/>
      <c r="F171" s="250"/>
      <c r="G171" s="250"/>
      <c r="H171" s="250"/>
      <c r="I171" s="250"/>
      <c r="J171" s="250"/>
      <c r="K171" s="195"/>
      <c r="L171" s="195"/>
      <c r="M171" s="218"/>
      <c r="N171" s="216"/>
      <c r="O171" s="251"/>
      <c r="P171" s="251"/>
      <c r="Q171" s="251"/>
      <c r="R171" s="251"/>
      <c r="S171" s="251"/>
      <c r="T171" s="251"/>
      <c r="U171" s="251"/>
      <c r="V171" s="251"/>
      <c r="W171" s="254"/>
      <c r="X171" s="253"/>
      <c r="Y171" s="254"/>
      <c r="Z171" s="253"/>
      <c r="AA171" s="232"/>
      <c r="AB171" s="232"/>
      <c r="AC171" s="232"/>
      <c r="AD171" s="232"/>
      <c r="AE171" s="232"/>
      <c r="AF171" s="232"/>
      <c r="AG171" s="232"/>
      <c r="AH171" s="232"/>
      <c r="AI171" s="232"/>
      <c r="AJ171" s="232"/>
      <c r="AK171" s="245"/>
    </row>
    <row r="172" spans="1:40" s="179" customFormat="1" ht="13.5" hidden="1">
      <c r="A172" s="186"/>
      <c r="B172" s="186"/>
      <c r="C172" s="193"/>
      <c r="D172" s="193"/>
      <c r="E172" s="249"/>
      <c r="F172" s="250"/>
      <c r="G172" s="250"/>
      <c r="H172" s="250"/>
      <c r="I172" s="250"/>
      <c r="J172" s="250"/>
      <c r="K172" s="195"/>
      <c r="L172" s="195"/>
      <c r="M172" s="218"/>
      <c r="N172" s="216"/>
      <c r="O172" s="251"/>
      <c r="P172" s="251"/>
      <c r="Q172" s="251"/>
      <c r="R172" s="251"/>
      <c r="S172" s="251"/>
      <c r="T172" s="251"/>
      <c r="U172" s="251"/>
      <c r="V172" s="251"/>
      <c r="W172" s="254"/>
      <c r="X172" s="253"/>
      <c r="Y172" s="254"/>
      <c r="Z172" s="253"/>
      <c r="AA172" s="232"/>
      <c r="AB172" s="232"/>
      <c r="AC172" s="232"/>
      <c r="AD172" s="232"/>
      <c r="AE172" s="232"/>
      <c r="AF172" s="232"/>
      <c r="AG172" s="232"/>
      <c r="AH172" s="232"/>
      <c r="AI172" s="232"/>
      <c r="AJ172" s="232"/>
      <c r="AK172" s="245"/>
      <c r="AL172" s="178"/>
      <c r="AM172" s="178"/>
      <c r="AN172" s="178"/>
    </row>
    <row r="173" spans="1:40" s="180" customFormat="1" ht="14.25" hidden="1">
      <c r="A173" s="186"/>
      <c r="B173" s="186"/>
      <c r="C173" s="193"/>
      <c r="D173" s="193"/>
      <c r="E173" s="249"/>
      <c r="F173" s="250"/>
      <c r="G173" s="250"/>
      <c r="H173" s="250"/>
      <c r="I173" s="250"/>
      <c r="J173" s="250"/>
      <c r="K173" s="195"/>
      <c r="L173" s="195"/>
      <c r="M173" s="218"/>
      <c r="N173" s="216"/>
      <c r="O173" s="251"/>
      <c r="P173" s="251"/>
      <c r="Q173" s="251"/>
      <c r="R173" s="251"/>
      <c r="S173" s="251"/>
      <c r="T173" s="251"/>
      <c r="U173" s="251"/>
      <c r="V173" s="251"/>
      <c r="W173" s="254"/>
      <c r="X173" s="253"/>
      <c r="Y173" s="254"/>
      <c r="Z173" s="253"/>
      <c r="AA173" s="232"/>
      <c r="AB173" s="232">
        <f>W174*7</f>
        <v>156800</v>
      </c>
      <c r="AC173" s="232"/>
      <c r="AD173" s="232"/>
      <c r="AE173" s="232"/>
      <c r="AF173" s="232"/>
      <c r="AG173" s="232"/>
      <c r="AH173" s="232"/>
      <c r="AI173" s="232"/>
      <c r="AJ173" s="232"/>
      <c r="AK173" s="245"/>
      <c r="AL173" s="178"/>
      <c r="AM173" s="178"/>
      <c r="AN173" s="178"/>
    </row>
    <row r="174" spans="1:40" s="180" customFormat="1" ht="14.25" hidden="1">
      <c r="A174" s="186"/>
      <c r="B174" s="186"/>
      <c r="C174" s="212" t="s">
        <v>236</v>
      </c>
      <c r="D174" s="215"/>
      <c r="E174" s="195">
        <f aca="true" t="shared" si="248" ref="E174:M174">SUM(E86:E173)</f>
        <v>171460</v>
      </c>
      <c r="F174" s="195">
        <f t="shared" si="248"/>
        <v>15990</v>
      </c>
      <c r="G174" s="195">
        <f t="shared" si="248"/>
        <v>6030</v>
      </c>
      <c r="H174" s="195">
        <f t="shared" si="248"/>
        <v>0</v>
      </c>
      <c r="I174" s="195">
        <f t="shared" si="248"/>
        <v>0</v>
      </c>
      <c r="J174" s="195">
        <f t="shared" si="248"/>
        <v>21648</v>
      </c>
      <c r="K174" s="195">
        <f t="shared" si="248"/>
        <v>0</v>
      </c>
      <c r="L174" s="195">
        <f t="shared" si="248"/>
        <v>0</v>
      </c>
      <c r="M174" s="218">
        <f t="shared" si="248"/>
        <v>215128</v>
      </c>
      <c r="N174" s="216"/>
      <c r="O174" s="251">
        <f aca="true" t="shared" si="249" ref="O174:R174">SUM(O86:O173)</f>
        <v>47885.99999999993</v>
      </c>
      <c r="P174" s="251">
        <f t="shared" si="249"/>
        <v>25439.58000000002</v>
      </c>
      <c r="Q174" s="251">
        <f t="shared" si="249"/>
        <v>1496.5800000000027</v>
      </c>
      <c r="R174" s="251">
        <f t="shared" si="249"/>
        <v>957.5700000000013</v>
      </c>
      <c r="S174" s="251"/>
      <c r="T174" s="251">
        <f aca="true" t="shared" si="250" ref="T174:Z174">SUM(T86:T173)</f>
        <v>15297</v>
      </c>
      <c r="U174" s="251">
        <f t="shared" si="250"/>
        <v>4267.280000000004</v>
      </c>
      <c r="V174" s="251"/>
      <c r="W174" s="264">
        <f t="shared" si="250"/>
        <v>22400</v>
      </c>
      <c r="X174" s="253">
        <f t="shared" si="250"/>
        <v>332872.01000000053</v>
      </c>
      <c r="Y174" s="254">
        <f t="shared" si="250"/>
        <v>776506</v>
      </c>
      <c r="Z174" s="253">
        <f t="shared" si="250"/>
        <v>5211970.119999994</v>
      </c>
      <c r="AA174" s="232"/>
      <c r="AB174" s="232"/>
      <c r="AC174" s="232"/>
      <c r="AD174" s="232"/>
      <c r="AE174" s="232"/>
      <c r="AF174" s="232"/>
      <c r="AG174" s="232"/>
      <c r="AH174" s="232"/>
      <c r="AI174" s="232"/>
      <c r="AJ174" s="232"/>
      <c r="AK174" s="245"/>
      <c r="AL174" s="178"/>
      <c r="AM174" s="178"/>
      <c r="AN174" s="178"/>
    </row>
    <row r="175" spans="1:40" s="180" customFormat="1" ht="14.25">
      <c r="A175" s="186">
        <v>1</v>
      </c>
      <c r="B175" s="186" t="s">
        <v>53</v>
      </c>
      <c r="C175" s="186" t="s">
        <v>237</v>
      </c>
      <c r="D175" s="186" t="s">
        <v>238</v>
      </c>
      <c r="E175" s="195">
        <v>5300</v>
      </c>
      <c r="F175" s="195"/>
      <c r="G175" s="195"/>
      <c r="H175" s="195"/>
      <c r="I175" s="195"/>
      <c r="J175" s="216"/>
      <c r="K175" s="216"/>
      <c r="L175" s="216"/>
      <c r="M175" s="218">
        <f>SUM(E175:L175)</f>
        <v>5300</v>
      </c>
      <c r="N175" s="216">
        <f>M175-J175</f>
        <v>5300</v>
      </c>
      <c r="O175" s="218">
        <f>ROUND(IF((N175)&gt;3925.8,(N175),3925.8)*16%,2)</f>
        <v>848</v>
      </c>
      <c r="P175" s="218">
        <f>ROUND(IF(N175&gt;3925.8,N175,3925.8)*8.5%,2)</f>
        <v>450.5</v>
      </c>
      <c r="Q175" s="218">
        <f>ROUND(IF(N175&gt;3925.8,N175,3925.8)*0.5%,2)</f>
        <v>26.5</v>
      </c>
      <c r="R175" s="218">
        <f>ROUND(IF(N175&gt;3925.8,N175,3925.8)*0.32%,2)</f>
        <v>16.96</v>
      </c>
      <c r="S175" s="218"/>
      <c r="T175" s="218">
        <f>CEILING(N175*12%,1)</f>
        <v>636</v>
      </c>
      <c r="U175" s="218">
        <f>((M175+W175)*12+Y175)*2%</f>
        <v>1272</v>
      </c>
      <c r="V175" s="253"/>
      <c r="W175" s="254">
        <v>0</v>
      </c>
      <c r="X175" s="218">
        <f>SUM(E175:J175)+SUM(O175:T175)+W175</f>
        <v>7277.96</v>
      </c>
      <c r="Y175" s="254">
        <v>0</v>
      </c>
      <c r="Z175" s="218">
        <f>X175*12+Y175+U175+V175+L175*7</f>
        <v>88607.52</v>
      </c>
      <c r="AA175" s="232">
        <f>ROUND(N175*8%,2)</f>
        <v>424</v>
      </c>
      <c r="AB175" s="232">
        <f>ROUND(N175*2%,2)</f>
        <v>106</v>
      </c>
      <c r="AC175" s="232">
        <f>ROUND(N175*0.5%,2)</f>
        <v>26.5</v>
      </c>
      <c r="AD175" s="232">
        <f>SUM(AA175:AC175)</f>
        <v>556.5</v>
      </c>
      <c r="AE175" s="232">
        <f>ROUND(IF(N175&gt;3453*105%,N175,3453*105%)*8%,2)</f>
        <v>424</v>
      </c>
      <c r="AF175" s="232">
        <f>ROUND(IF(N175&gt;3453*105%,N175,3453*105%)*2%,2)</f>
        <v>106</v>
      </c>
      <c r="AG175" s="232">
        <f>ROUND(IF(N175&gt;3453*105%,N175,3453*105%)*0.5%,2)</f>
        <v>26.5</v>
      </c>
      <c r="AH175" s="232">
        <f>SUM(AE175:AG175)</f>
        <v>556.5</v>
      </c>
      <c r="AI175" s="232">
        <f>SUM(AI10:AI74)</f>
        <v>50.91000000000008</v>
      </c>
      <c r="AJ175" s="232">
        <f>AI175*12</f>
        <v>610.920000000001</v>
      </c>
      <c r="AK175" s="245"/>
      <c r="AL175" s="178"/>
      <c r="AM175" s="178"/>
      <c r="AN175" s="178"/>
    </row>
    <row r="176" spans="1:40" s="180" customFormat="1" ht="14.25">
      <c r="A176" s="186"/>
      <c r="B176" s="186"/>
      <c r="C176" s="186"/>
      <c r="D176" s="186"/>
      <c r="E176" s="195"/>
      <c r="F176" s="201"/>
      <c r="G176" s="195"/>
      <c r="H176" s="195"/>
      <c r="I176" s="195"/>
      <c r="J176" s="216"/>
      <c r="K176" s="222"/>
      <c r="L176" s="216"/>
      <c r="M176" s="218"/>
      <c r="N176" s="216"/>
      <c r="O176" s="251"/>
      <c r="P176" s="251"/>
      <c r="Q176" s="251"/>
      <c r="R176" s="251"/>
      <c r="S176" s="251"/>
      <c r="T176" s="252"/>
      <c r="U176" s="253"/>
      <c r="V176" s="253"/>
      <c r="W176" s="254"/>
      <c r="X176" s="253"/>
      <c r="Y176" s="254"/>
      <c r="Z176" s="255"/>
      <c r="AA176" s="232">
        <f>ROUND(N176*8%,2)</f>
        <v>0</v>
      </c>
      <c r="AB176" s="232">
        <f>ROUND(N176*2%,2)</f>
        <v>0</v>
      </c>
      <c r="AC176" s="232">
        <f>ROUND(N176*0.5%,2)</f>
        <v>0</v>
      </c>
      <c r="AD176" s="232">
        <f>SUM(AA176:AC176)</f>
        <v>0</v>
      </c>
      <c r="AE176" s="232">
        <f>ROUND(IF(N176&gt;3453*105%,N176,3453*105%)*8%,2)</f>
        <v>290.05</v>
      </c>
      <c r="AF176" s="232">
        <f>ROUND(IF(N176&gt;3453*105%,N176,3453*105%)*2%,2)</f>
        <v>72.51</v>
      </c>
      <c r="AG176" s="232">
        <f>ROUND(IF(N176&gt;3453*105%,N176,3453*105%)*0.5%,2)</f>
        <v>18.13</v>
      </c>
      <c r="AH176" s="232">
        <f>SUM(AE176:AG176)</f>
        <v>380.69</v>
      </c>
      <c r="AI176" s="232">
        <f>AH176-AD176</f>
        <v>380.69</v>
      </c>
      <c r="AJ176" s="242">
        <f>AI175*3</f>
        <v>152.73000000000025</v>
      </c>
      <c r="AK176" s="244"/>
      <c r="AL176" s="178"/>
      <c r="AM176" s="178"/>
      <c r="AN176" s="178"/>
    </row>
    <row r="177" spans="1:40" s="180" customFormat="1" ht="14.25">
      <c r="A177" s="186"/>
      <c r="B177" s="186"/>
      <c r="C177" s="186"/>
      <c r="D177" s="186"/>
      <c r="E177" s="195"/>
      <c r="F177" s="195"/>
      <c r="G177" s="195"/>
      <c r="H177" s="195"/>
      <c r="I177" s="195"/>
      <c r="J177" s="216"/>
      <c r="K177" s="216"/>
      <c r="L177" s="216"/>
      <c r="M177" s="218"/>
      <c r="N177" s="216"/>
      <c r="O177" s="251"/>
      <c r="P177" s="251"/>
      <c r="Q177" s="251"/>
      <c r="R177" s="251"/>
      <c r="S177" s="251"/>
      <c r="T177" s="252"/>
      <c r="U177" s="253"/>
      <c r="V177" s="253"/>
      <c r="W177" s="254"/>
      <c r="X177" s="253"/>
      <c r="Y177" s="254"/>
      <c r="Z177" s="255"/>
      <c r="AA177" s="232"/>
      <c r="AB177" s="232"/>
      <c r="AC177" s="232"/>
      <c r="AD177" s="232"/>
      <c r="AE177" s="232"/>
      <c r="AF177" s="232"/>
      <c r="AG177" s="232"/>
      <c r="AH177" s="232"/>
      <c r="AI177" s="232"/>
      <c r="AJ177" s="242"/>
      <c r="AK177" s="244"/>
      <c r="AL177" s="178"/>
      <c r="AM177" s="178"/>
      <c r="AN177" s="178"/>
    </row>
    <row r="178" spans="1:40" s="180" customFormat="1" ht="14.25">
      <c r="A178" s="212"/>
      <c r="B178" s="256"/>
      <c r="C178" s="256" t="s">
        <v>239</v>
      </c>
      <c r="D178" s="215"/>
      <c r="E178" s="195">
        <f aca="true" t="shared" si="251" ref="E178:M178">SUM(E175:E177)</f>
        <v>5300</v>
      </c>
      <c r="F178" s="195">
        <f t="shared" si="251"/>
        <v>0</v>
      </c>
      <c r="G178" s="195">
        <f t="shared" si="251"/>
        <v>0</v>
      </c>
      <c r="H178" s="195">
        <f t="shared" si="251"/>
        <v>0</v>
      </c>
      <c r="I178" s="195">
        <f t="shared" si="251"/>
        <v>0</v>
      </c>
      <c r="J178" s="195">
        <f t="shared" si="251"/>
        <v>0</v>
      </c>
      <c r="K178" s="195">
        <f t="shared" si="251"/>
        <v>0</v>
      </c>
      <c r="L178" s="195">
        <f t="shared" si="251"/>
        <v>0</v>
      </c>
      <c r="M178" s="218">
        <f t="shared" si="251"/>
        <v>5300</v>
      </c>
      <c r="N178" s="216"/>
      <c r="O178" s="251">
        <f aca="true" t="shared" si="252" ref="O178:U178">SUM(O175:O177)</f>
        <v>848</v>
      </c>
      <c r="P178" s="251">
        <f t="shared" si="252"/>
        <v>450.5</v>
      </c>
      <c r="Q178" s="251">
        <f t="shared" si="252"/>
        <v>26.5</v>
      </c>
      <c r="R178" s="251">
        <f t="shared" si="252"/>
        <v>16.96</v>
      </c>
      <c r="S178" s="251">
        <f t="shared" si="252"/>
        <v>0</v>
      </c>
      <c r="T178" s="251">
        <f t="shared" si="252"/>
        <v>636</v>
      </c>
      <c r="U178" s="251">
        <f t="shared" si="252"/>
        <v>1272</v>
      </c>
      <c r="V178" s="251"/>
      <c r="W178" s="254">
        <f aca="true" t="shared" si="253" ref="W178:Z178">SUM(W175:W177)</f>
        <v>0</v>
      </c>
      <c r="X178" s="253">
        <f t="shared" si="253"/>
        <v>7277.96</v>
      </c>
      <c r="Y178" s="254">
        <f t="shared" si="253"/>
        <v>0</v>
      </c>
      <c r="Z178" s="253">
        <f t="shared" si="253"/>
        <v>88607.52</v>
      </c>
      <c r="AA178" s="232"/>
      <c r="AB178" s="232"/>
      <c r="AC178" s="232"/>
      <c r="AD178" s="232"/>
      <c r="AE178" s="232"/>
      <c r="AF178" s="232"/>
      <c r="AG178" s="232"/>
      <c r="AH178" s="232"/>
      <c r="AI178" s="232"/>
      <c r="AJ178" s="242"/>
      <c r="AK178" s="244"/>
      <c r="AL178" s="178"/>
      <c r="AM178" s="178"/>
      <c r="AN178" s="178"/>
    </row>
    <row r="179" spans="1:40" s="180" customFormat="1" ht="14.25">
      <c r="A179" s="212" t="s">
        <v>240</v>
      </c>
      <c r="B179" s="256"/>
      <c r="C179" s="256"/>
      <c r="D179" s="215"/>
      <c r="E179" s="195">
        <f>E178+E76</f>
        <v>266198</v>
      </c>
      <c r="F179" s="195">
        <f aca="true" t="shared" si="254" ref="F179:L179">F178+F174+F85+F69+F39+F56+F75+F63+F32+F26+F9</f>
        <v>18990</v>
      </c>
      <c r="G179" s="195">
        <f t="shared" si="254"/>
        <v>13530</v>
      </c>
      <c r="H179" s="195">
        <f t="shared" si="254"/>
        <v>2700</v>
      </c>
      <c r="I179" s="195">
        <f t="shared" si="254"/>
        <v>5700</v>
      </c>
      <c r="J179" s="195">
        <f t="shared" si="254"/>
        <v>36696</v>
      </c>
      <c r="K179" s="195">
        <f t="shared" si="254"/>
        <v>0</v>
      </c>
      <c r="L179" s="195">
        <f t="shared" si="254"/>
        <v>13500</v>
      </c>
      <c r="M179" s="218">
        <f aca="true" t="shared" si="255" ref="M179:U179">M174+M85+M69+M39+M56+M75+M63+M32+M26</f>
        <v>477400</v>
      </c>
      <c r="N179" s="195">
        <f t="shared" si="255"/>
        <v>0</v>
      </c>
      <c r="O179" s="261">
        <f t="shared" si="255"/>
        <v>93831.87999999992</v>
      </c>
      <c r="P179" s="261">
        <f t="shared" si="255"/>
        <v>49848.44000000003</v>
      </c>
      <c r="Q179" s="261">
        <f t="shared" si="255"/>
        <v>2932.520000000003</v>
      </c>
      <c r="R179" s="261">
        <f t="shared" si="255"/>
        <v>1776.4000000000012</v>
      </c>
      <c r="S179" s="261">
        <f t="shared" si="255"/>
        <v>0</v>
      </c>
      <c r="T179" s="261">
        <f t="shared" si="255"/>
        <v>49508</v>
      </c>
      <c r="U179" s="261">
        <f t="shared" si="255"/>
        <v>94379.72000000002</v>
      </c>
      <c r="V179" s="261"/>
      <c r="W179" s="195">
        <f aca="true" t="shared" si="256" ref="W179:Z179">W174+W85+W69+W39+W56+W75+W63+W32+W26</f>
        <v>90300</v>
      </c>
      <c r="X179" s="261">
        <f t="shared" si="256"/>
        <v>757131.7600000005</v>
      </c>
      <c r="Y179" s="195">
        <f t="shared" si="256"/>
        <v>2236106</v>
      </c>
      <c r="Z179" s="261">
        <f t="shared" si="256"/>
        <v>12033723.539999994</v>
      </c>
      <c r="AA179" s="269"/>
      <c r="AB179" s="242"/>
      <c r="AC179" s="242"/>
      <c r="AD179" s="242"/>
      <c r="AE179" s="242"/>
      <c r="AF179" s="242"/>
      <c r="AG179" s="242"/>
      <c r="AH179" s="242" t="s">
        <v>241</v>
      </c>
      <c r="AI179" s="242" t="e">
        <f>#REF!*12</f>
        <v>#REF!</v>
      </c>
      <c r="AJ179" s="242"/>
      <c r="AK179" s="244"/>
      <c r="AL179" s="178"/>
      <c r="AM179" s="178"/>
      <c r="AN179" s="178"/>
    </row>
    <row r="180" spans="1:40" s="180" customFormat="1" ht="14.25">
      <c r="A180" s="257"/>
      <c r="B180" s="257"/>
      <c r="C180" s="257"/>
      <c r="D180" s="257"/>
      <c r="E180" s="258"/>
      <c r="F180" s="258"/>
      <c r="G180" s="258"/>
      <c r="H180" s="258"/>
      <c r="I180" s="258"/>
      <c r="J180" s="258"/>
      <c r="K180" s="258"/>
      <c r="L180" s="258"/>
      <c r="M180" s="258"/>
      <c r="N180" s="258"/>
      <c r="O180" s="258"/>
      <c r="P180" s="258"/>
      <c r="Q180" s="258"/>
      <c r="R180" s="258"/>
      <c r="S180" s="258"/>
      <c r="T180" s="258"/>
      <c r="U180" s="258"/>
      <c r="V180" s="258"/>
      <c r="W180" s="258"/>
      <c r="X180" s="258"/>
      <c r="Y180" s="258"/>
      <c r="Z180" s="258"/>
      <c r="AA180" s="269"/>
      <c r="AB180" s="242"/>
      <c r="AC180" s="242"/>
      <c r="AD180" s="242"/>
      <c r="AE180" s="242"/>
      <c r="AF180" s="242"/>
      <c r="AG180" s="242"/>
      <c r="AH180" s="242"/>
      <c r="AI180" s="242"/>
      <c r="AJ180" s="242"/>
      <c r="AK180" s="244"/>
      <c r="AL180" s="178"/>
      <c r="AM180" s="178"/>
      <c r="AN180" s="178"/>
    </row>
    <row r="181" spans="1:40" s="180" customFormat="1" ht="14.25">
      <c r="A181" s="232"/>
      <c r="B181" s="232"/>
      <c r="C181" s="232"/>
      <c r="D181" s="232"/>
      <c r="E181" s="259" t="s">
        <v>6</v>
      </c>
      <c r="F181" s="259"/>
      <c r="G181" s="259"/>
      <c r="H181" s="232" t="s">
        <v>242</v>
      </c>
      <c r="I181" s="232"/>
      <c r="J181" s="232"/>
      <c r="K181" s="232"/>
      <c r="L181" s="232"/>
      <c r="M181" s="232"/>
      <c r="N181" s="232"/>
      <c r="O181" s="242"/>
      <c r="P181" s="242"/>
      <c r="Q181" s="242"/>
      <c r="R181" s="242"/>
      <c r="S181" s="242"/>
      <c r="T181" s="242"/>
      <c r="U181" s="242"/>
      <c r="V181" s="242"/>
      <c r="W181" s="265"/>
      <c r="X181" s="183"/>
      <c r="Y181" s="242"/>
      <c r="Z181" s="230"/>
      <c r="AA181" s="242"/>
      <c r="AB181" s="242">
        <f>M179*12</f>
        <v>5728800</v>
      </c>
      <c r="AC181" s="242"/>
      <c r="AD181" s="242"/>
      <c r="AE181" s="242"/>
      <c r="AF181" s="242"/>
      <c r="AG181" s="242"/>
      <c r="AH181" s="242"/>
      <c r="AI181" s="242"/>
      <c r="AJ181" s="242"/>
      <c r="AK181" s="244"/>
      <c r="AL181" s="178"/>
      <c r="AM181" s="178"/>
      <c r="AN181" s="178"/>
    </row>
    <row r="182" spans="1:40" s="179" customFormat="1" ht="13.5">
      <c r="A182" s="246"/>
      <c r="B182" s="246"/>
      <c r="C182" s="246"/>
      <c r="D182" s="246"/>
      <c r="E182" s="246"/>
      <c r="F182" s="246"/>
      <c r="G182" s="246" t="s">
        <v>243</v>
      </c>
      <c r="H182" s="246"/>
      <c r="I182" s="246"/>
      <c r="J182" s="246"/>
      <c r="K182" s="246"/>
      <c r="L182" s="246"/>
      <c r="M182" s="260" t="s">
        <v>244</v>
      </c>
      <c r="N182" s="260"/>
      <c r="O182" s="260"/>
      <c r="P182" s="262" t="e">
        <f>(M179+W179)*12+2100*#REF!</f>
        <v>#REF!</v>
      </c>
      <c r="Q182" s="260" t="s">
        <v>245</v>
      </c>
      <c r="R182" s="260"/>
      <c r="S182" s="266" t="e">
        <f>(M179-M9+W179-W9)*12+Y179-Y9+2100*#REF!</f>
        <v>#REF!</v>
      </c>
      <c r="T182" s="260"/>
      <c r="U182" s="260"/>
      <c r="V182" s="260"/>
      <c r="W182" s="267">
        <f>W181*0.02</f>
        <v>0</v>
      </c>
      <c r="X182" s="267">
        <f>U174+W182</f>
        <v>4267.280000000004</v>
      </c>
      <c r="Y182" s="260"/>
      <c r="Z182" s="270"/>
      <c r="AA182" s="260"/>
      <c r="AB182" s="260">
        <f>W179*12</f>
        <v>1083600</v>
      </c>
      <c r="AC182" s="260"/>
      <c r="AD182" s="260"/>
      <c r="AE182" s="260"/>
      <c r="AF182" s="260"/>
      <c r="AG182" s="260"/>
      <c r="AH182" s="260"/>
      <c r="AI182" s="260"/>
      <c r="AJ182" s="260"/>
      <c r="AK182" s="248"/>
      <c r="AL182" s="178"/>
      <c r="AM182" s="178"/>
      <c r="AN182" s="178"/>
    </row>
    <row r="183" spans="1:37" s="178" customFormat="1" ht="14.25">
      <c r="A183" s="248"/>
      <c r="B183" s="248"/>
      <c r="C183" s="248"/>
      <c r="D183" s="248"/>
      <c r="E183" s="248"/>
      <c r="F183" s="248"/>
      <c r="G183" s="248"/>
      <c r="H183" s="248"/>
      <c r="I183" s="248"/>
      <c r="J183" s="248">
        <f>M179/56</f>
        <v>8525</v>
      </c>
      <c r="K183" s="248"/>
      <c r="L183" s="248"/>
      <c r="M183" s="248"/>
      <c r="N183" s="248"/>
      <c r="O183" s="247"/>
      <c r="P183" s="247"/>
      <c r="Q183" s="247"/>
      <c r="R183" s="247"/>
      <c r="S183" s="247"/>
      <c r="T183" s="247"/>
      <c r="U183" s="247"/>
      <c r="V183" s="247"/>
      <c r="W183" s="247"/>
      <c r="X183" s="247"/>
      <c r="Y183" s="247"/>
      <c r="Z183" s="271"/>
      <c r="AA183" s="247"/>
      <c r="AB183" s="272">
        <f>Y179+AB182+AB181</f>
        <v>9048506</v>
      </c>
      <c r="AC183" s="247"/>
      <c r="AD183" s="247"/>
      <c r="AE183" s="247"/>
      <c r="AF183" s="247"/>
      <c r="AG183" s="247"/>
      <c r="AH183" s="247"/>
      <c r="AI183" s="247">
        <v>8358258</v>
      </c>
      <c r="AJ183" s="247"/>
      <c r="AK183" s="248"/>
    </row>
    <row r="184" spans="1:37" s="178" customFormat="1" ht="14.25">
      <c r="A184" s="248"/>
      <c r="B184" s="248"/>
      <c r="C184" s="248"/>
      <c r="D184" s="248"/>
      <c r="E184" s="248"/>
      <c r="F184" s="248"/>
      <c r="G184" s="248"/>
      <c r="H184" s="248"/>
      <c r="I184" s="248"/>
      <c r="J184" s="248"/>
      <c r="K184" s="248"/>
      <c r="L184" s="248"/>
      <c r="M184" s="248"/>
      <c r="N184" s="248"/>
      <c r="O184" s="247"/>
      <c r="P184" s="247"/>
      <c r="Q184" s="247"/>
      <c r="R184" s="247"/>
      <c r="S184" s="247"/>
      <c r="T184" s="247"/>
      <c r="U184" s="247"/>
      <c r="V184" s="247"/>
      <c r="W184" s="247"/>
      <c r="X184" s="247"/>
      <c r="Y184" s="247"/>
      <c r="Z184" s="271"/>
      <c r="AA184" s="247"/>
      <c r="AB184" s="247"/>
      <c r="AC184" s="247"/>
      <c r="AD184" s="247"/>
      <c r="AE184" s="247"/>
      <c r="AF184" s="247"/>
      <c r="AG184" s="247"/>
      <c r="AH184" s="247"/>
      <c r="AI184" s="247"/>
      <c r="AJ184" s="247"/>
      <c r="AK184" s="248"/>
    </row>
    <row r="185" spans="1:37" s="178" customFormat="1" ht="14.25">
      <c r="A185" s="248"/>
      <c r="B185" s="248"/>
      <c r="C185" s="248"/>
      <c r="D185" s="248"/>
      <c r="E185" s="248"/>
      <c r="F185" s="248"/>
      <c r="G185" s="248"/>
      <c r="H185" s="248"/>
      <c r="I185" s="248"/>
      <c r="J185" s="248"/>
      <c r="K185" s="248"/>
      <c r="L185" s="248"/>
      <c r="M185" s="248"/>
      <c r="N185" s="248"/>
      <c r="O185" s="247"/>
      <c r="P185" s="247"/>
      <c r="Q185" s="247"/>
      <c r="R185" s="247"/>
      <c r="S185" s="247"/>
      <c r="T185" s="247"/>
      <c r="U185" s="247"/>
      <c r="V185" s="247"/>
      <c r="W185" s="268"/>
      <c r="X185" s="268" t="e">
        <f>#REF!+#REF!+#REF!</f>
        <v>#REF!</v>
      </c>
      <c r="Y185" s="268"/>
      <c r="Z185" s="271"/>
      <c r="AA185" s="247"/>
      <c r="AB185" s="247"/>
      <c r="AC185" s="247"/>
      <c r="AD185" s="247"/>
      <c r="AE185" s="247"/>
      <c r="AF185" s="247"/>
      <c r="AG185" s="247"/>
      <c r="AH185" s="247"/>
      <c r="AI185" s="247"/>
      <c r="AJ185" s="247"/>
      <c r="AK185" s="248"/>
    </row>
    <row r="186" spans="1:37" s="178" customFormat="1" ht="14.25">
      <c r="A186" s="248"/>
      <c r="B186" s="248"/>
      <c r="C186" s="248"/>
      <c r="D186" s="248"/>
      <c r="E186" s="248"/>
      <c r="F186" s="248"/>
      <c r="G186" s="248"/>
      <c r="H186" s="248"/>
      <c r="I186" s="248"/>
      <c r="J186" s="248"/>
      <c r="K186" s="248"/>
      <c r="L186" s="248"/>
      <c r="M186" s="248"/>
      <c r="N186" s="248"/>
      <c r="O186" s="247"/>
      <c r="P186" s="247"/>
      <c r="Q186" s="247"/>
      <c r="R186" s="247"/>
      <c r="S186" s="247"/>
      <c r="T186" s="247"/>
      <c r="U186" s="247"/>
      <c r="V186" s="247"/>
      <c r="W186" s="247"/>
      <c r="X186" s="247" t="e">
        <f>X185*12</f>
        <v>#REF!</v>
      </c>
      <c r="Y186" s="247"/>
      <c r="Z186" s="271"/>
      <c r="AA186" s="247"/>
      <c r="AB186" s="247"/>
      <c r="AC186" s="247"/>
      <c r="AD186" s="247"/>
      <c r="AE186" s="247"/>
      <c r="AF186" s="247"/>
      <c r="AG186" s="247"/>
      <c r="AH186" s="247"/>
      <c r="AI186" s="247"/>
      <c r="AJ186" s="247"/>
      <c r="AK186" s="248"/>
    </row>
    <row r="187" spans="1:37" s="178" customFormat="1" ht="14.25">
      <c r="A187" s="248"/>
      <c r="B187" s="248"/>
      <c r="C187" s="248"/>
      <c r="D187" s="248"/>
      <c r="E187" s="248"/>
      <c r="F187" s="248"/>
      <c r="G187" s="248"/>
      <c r="H187" s="248"/>
      <c r="I187" s="248"/>
      <c r="J187" s="248"/>
      <c r="K187" s="248"/>
      <c r="L187" s="248"/>
      <c r="M187" s="248"/>
      <c r="N187" s="248"/>
      <c r="O187" s="247"/>
      <c r="P187" s="247"/>
      <c r="Q187" s="247"/>
      <c r="R187" s="247"/>
      <c r="S187" s="247"/>
      <c r="T187" s="247"/>
      <c r="U187" s="247"/>
      <c r="V187" s="247"/>
      <c r="W187" s="247"/>
      <c r="X187" s="247"/>
      <c r="Y187" s="247"/>
      <c r="Z187" s="271"/>
      <c r="AA187" s="247"/>
      <c r="AB187" s="247"/>
      <c r="AC187" s="247"/>
      <c r="AD187" s="247"/>
      <c r="AE187" s="247"/>
      <c r="AF187" s="247"/>
      <c r="AG187" s="247"/>
      <c r="AH187" s="247"/>
      <c r="AI187" s="247"/>
      <c r="AJ187" s="247"/>
      <c r="AK187" s="248"/>
    </row>
    <row r="188" spans="1:37" s="178" customFormat="1" ht="14.25">
      <c r="A188" s="248"/>
      <c r="B188" s="248"/>
      <c r="C188" s="248"/>
      <c r="D188" s="248"/>
      <c r="E188" s="248"/>
      <c r="F188" s="248"/>
      <c r="G188" s="248"/>
      <c r="H188" s="248"/>
      <c r="I188" s="248"/>
      <c r="J188" s="248"/>
      <c r="K188" s="248"/>
      <c r="L188" s="248"/>
      <c r="M188" s="248"/>
      <c r="N188" s="248"/>
      <c r="O188" s="247"/>
      <c r="P188" s="247"/>
      <c r="Q188" s="247"/>
      <c r="R188" s="247"/>
      <c r="S188" s="247"/>
      <c r="T188" s="247"/>
      <c r="U188" s="247"/>
      <c r="V188" s="247"/>
      <c r="W188" s="247"/>
      <c r="X188" s="247"/>
      <c r="Y188" s="247"/>
      <c r="Z188" s="271"/>
      <c r="AA188" s="247"/>
      <c r="AB188" s="247"/>
      <c r="AC188" s="247"/>
      <c r="AD188" s="247"/>
      <c r="AE188" s="247"/>
      <c r="AF188" s="247"/>
      <c r="AG188" s="247"/>
      <c r="AH188" s="247"/>
      <c r="AI188" s="247"/>
      <c r="AJ188" s="247"/>
      <c r="AK188" s="248"/>
    </row>
    <row r="189" spans="1:37" s="178" customFormat="1" ht="14.25">
      <c r="A189" s="247"/>
      <c r="B189" s="182"/>
      <c r="C189" s="182"/>
      <c r="D189" s="182"/>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71"/>
      <c r="AA189" s="247"/>
      <c r="AB189" s="247"/>
      <c r="AC189" s="247"/>
      <c r="AD189" s="247"/>
      <c r="AE189" s="247"/>
      <c r="AF189" s="247"/>
      <c r="AG189" s="247"/>
      <c r="AH189" s="247"/>
      <c r="AI189" s="247"/>
      <c r="AJ189" s="247"/>
      <c r="AK189" s="248"/>
    </row>
    <row r="190" spans="1:37" s="178" customFormat="1" ht="14.25">
      <c r="A190" s="247"/>
      <c r="B190" s="182"/>
      <c r="C190" s="182"/>
      <c r="D190" s="182"/>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71"/>
      <c r="AA190" s="247"/>
      <c r="AB190" s="247"/>
      <c r="AC190" s="247"/>
      <c r="AD190" s="247"/>
      <c r="AE190" s="247"/>
      <c r="AF190" s="247"/>
      <c r="AG190" s="247"/>
      <c r="AH190" s="247"/>
      <c r="AI190" s="247"/>
      <c r="AJ190" s="247"/>
      <c r="AK190" s="248"/>
    </row>
    <row r="191" spans="1:37" s="178" customFormat="1" ht="14.25">
      <c r="A191" s="248"/>
      <c r="B191" s="248"/>
      <c r="C191" s="248"/>
      <c r="D191" s="248"/>
      <c r="E191" s="248"/>
      <c r="F191" s="248"/>
      <c r="G191" s="248"/>
      <c r="H191" s="248"/>
      <c r="I191" s="248"/>
      <c r="J191" s="248"/>
      <c r="K191" s="248"/>
      <c r="L191" s="248"/>
      <c r="M191" s="248"/>
      <c r="N191" s="248"/>
      <c r="O191" s="247"/>
      <c r="P191" s="247"/>
      <c r="Q191" s="247"/>
      <c r="R191" s="247"/>
      <c r="S191" s="247"/>
      <c r="T191" s="247"/>
      <c r="U191" s="247"/>
      <c r="V191" s="247"/>
      <c r="W191" s="247"/>
      <c r="X191" s="247"/>
      <c r="Y191" s="247"/>
      <c r="Z191" s="271"/>
      <c r="AA191" s="247"/>
      <c r="AB191" s="247"/>
      <c r="AC191" s="247"/>
      <c r="AD191" s="247"/>
      <c r="AE191" s="247"/>
      <c r="AF191" s="247"/>
      <c r="AG191" s="247"/>
      <c r="AH191" s="247"/>
      <c r="AI191" s="247"/>
      <c r="AJ191" s="247"/>
      <c r="AK191" s="248"/>
    </row>
    <row r="192" spans="1:37" s="178" customFormat="1" ht="13.5">
      <c r="A192" s="260"/>
      <c r="B192" s="248"/>
      <c r="C192" s="248"/>
      <c r="D192" s="248"/>
      <c r="E192" s="260"/>
      <c r="F192" s="260"/>
      <c r="G192" s="260"/>
      <c r="H192" s="260"/>
      <c r="I192" s="260"/>
      <c r="J192" s="260"/>
      <c r="K192" s="260"/>
      <c r="L192" s="260"/>
      <c r="M192" s="260" t="s">
        <v>246</v>
      </c>
      <c r="N192" s="260"/>
      <c r="O192" s="260"/>
      <c r="P192" s="263" t="e">
        <f>P182/#REF!</f>
        <v>#REF!</v>
      </c>
      <c r="Q192" s="260" t="s">
        <v>246</v>
      </c>
      <c r="R192" s="260"/>
      <c r="S192" s="263" t="e">
        <f>S182/#REF!</f>
        <v>#REF!</v>
      </c>
      <c r="T192" s="260"/>
      <c r="U192" s="263"/>
      <c r="V192" s="263"/>
      <c r="W192" s="260"/>
      <c r="X192" s="260"/>
      <c r="Y192" s="260"/>
      <c r="Z192" s="270"/>
      <c r="AA192" s="260"/>
      <c r="AB192" s="260"/>
      <c r="AC192" s="260"/>
      <c r="AD192" s="260"/>
      <c r="AE192" s="260"/>
      <c r="AF192" s="260"/>
      <c r="AG192" s="260"/>
      <c r="AH192" s="260"/>
      <c r="AI192" s="260"/>
      <c r="AJ192" s="260"/>
      <c r="AK192" s="248"/>
    </row>
    <row r="193" spans="1:37" s="178" customFormat="1" ht="14.25">
      <c r="A193" s="242"/>
      <c r="B193" s="273"/>
      <c r="C193" s="273"/>
      <c r="D193" s="273"/>
      <c r="E193" s="242">
        <f>E178*12</f>
        <v>63600</v>
      </c>
      <c r="F193" s="274">
        <f>SUM(O178:S178)*12</f>
        <v>16103.52</v>
      </c>
      <c r="G193" s="274">
        <f>T178*12</f>
        <v>7632</v>
      </c>
      <c r="H193" s="242"/>
      <c r="I193" s="242"/>
      <c r="J193" s="242"/>
      <c r="K193" s="242"/>
      <c r="L193" s="242"/>
      <c r="M193" s="242"/>
      <c r="N193" s="242"/>
      <c r="O193" s="242"/>
      <c r="P193" s="242"/>
      <c r="Q193" s="242"/>
      <c r="R193" s="242"/>
      <c r="S193" s="242"/>
      <c r="T193" s="242"/>
      <c r="U193" s="263">
        <v>65000</v>
      </c>
      <c r="V193" s="263"/>
      <c r="W193" s="242"/>
      <c r="X193" s="242"/>
      <c r="Y193" s="242"/>
      <c r="Z193" s="230"/>
      <c r="AA193" s="242"/>
      <c r="AB193" s="242"/>
      <c r="AC193" s="242"/>
      <c r="AD193" s="242"/>
      <c r="AE193" s="242"/>
      <c r="AF193" s="242"/>
      <c r="AG193" s="242"/>
      <c r="AH193" s="242"/>
      <c r="AI193" s="242"/>
      <c r="AJ193" s="242"/>
      <c r="AK193" s="244"/>
    </row>
    <row r="194" spans="1:37" s="178" customFormat="1" ht="14.25">
      <c r="A194" s="242"/>
      <c r="B194" s="273"/>
      <c r="C194" s="273"/>
      <c r="D194" s="273"/>
      <c r="E194" s="242"/>
      <c r="F194" s="242"/>
      <c r="G194" s="242"/>
      <c r="H194" s="242"/>
      <c r="I194" s="242"/>
      <c r="J194" s="242"/>
      <c r="K194" s="242"/>
      <c r="L194" s="242"/>
      <c r="M194" s="247" t="s">
        <v>247</v>
      </c>
      <c r="N194" s="247"/>
      <c r="O194" s="242"/>
      <c r="P194" s="242"/>
      <c r="Q194" s="242"/>
      <c r="R194" s="242"/>
      <c r="S194" s="242"/>
      <c r="T194" s="242"/>
      <c r="U194" s="242"/>
      <c r="V194" s="242"/>
      <c r="W194" s="242"/>
      <c r="X194" s="242"/>
      <c r="Y194" s="242"/>
      <c r="Z194" s="230"/>
      <c r="AA194" s="242"/>
      <c r="AB194" s="242"/>
      <c r="AC194" s="242"/>
      <c r="AD194" s="242"/>
      <c r="AE194" s="242"/>
      <c r="AF194" s="242"/>
      <c r="AG194" s="242"/>
      <c r="AH194" s="242"/>
      <c r="AI194" s="242"/>
      <c r="AJ194" s="242"/>
      <c r="AK194" s="244"/>
    </row>
    <row r="195" spans="1:37" s="178" customFormat="1" ht="14.25">
      <c r="A195" s="242"/>
      <c r="B195" s="273"/>
      <c r="C195" s="273"/>
      <c r="D195" s="273"/>
      <c r="E195" s="242"/>
      <c r="F195" s="242"/>
      <c r="G195" s="242"/>
      <c r="H195" s="242"/>
      <c r="I195" s="242"/>
      <c r="J195" s="242"/>
      <c r="K195" s="242"/>
      <c r="L195" s="242"/>
      <c r="M195" s="242"/>
      <c r="N195" s="242"/>
      <c r="O195" s="242"/>
      <c r="P195" s="242"/>
      <c r="Q195" s="242"/>
      <c r="R195" s="242"/>
      <c r="S195" s="242"/>
      <c r="T195" s="242"/>
      <c r="U195" s="242"/>
      <c r="V195" s="242"/>
      <c r="W195" s="242"/>
      <c r="X195" s="242"/>
      <c r="Y195" s="242"/>
      <c r="Z195" s="230"/>
      <c r="AA195" s="242"/>
      <c r="AB195" s="242"/>
      <c r="AC195" s="242"/>
      <c r="AD195" s="242"/>
      <c r="AE195" s="242"/>
      <c r="AF195" s="242"/>
      <c r="AG195" s="242"/>
      <c r="AH195" s="242"/>
      <c r="AI195" s="242"/>
      <c r="AJ195" s="242"/>
      <c r="AK195" s="244"/>
    </row>
    <row r="196" spans="1:37" s="178" customFormat="1" ht="14.25">
      <c r="A196" s="242"/>
      <c r="B196" s="273"/>
      <c r="C196" s="273"/>
      <c r="D196" s="273"/>
      <c r="E196" s="242"/>
      <c r="F196" s="242"/>
      <c r="G196" s="242"/>
      <c r="H196" s="242"/>
      <c r="I196" s="242"/>
      <c r="J196" s="242"/>
      <c r="K196" s="242"/>
      <c r="L196" s="242"/>
      <c r="M196" s="242" t="s">
        <v>248</v>
      </c>
      <c r="N196" s="242"/>
      <c r="O196" s="242"/>
      <c r="P196" s="242" t="s">
        <v>249</v>
      </c>
      <c r="Q196" s="242"/>
      <c r="R196" s="242" t="s">
        <v>250</v>
      </c>
      <c r="S196" s="242"/>
      <c r="T196" s="242" t="s">
        <v>251</v>
      </c>
      <c r="U196" s="242"/>
      <c r="V196" s="242"/>
      <c r="W196" s="242"/>
      <c r="X196" s="242"/>
      <c r="Y196" s="230"/>
      <c r="Z196" s="293"/>
      <c r="AA196" s="242">
        <v>263.2</v>
      </c>
      <c r="AB196" s="242">
        <v>65.8</v>
      </c>
      <c r="AC196" s="242">
        <v>16.45</v>
      </c>
      <c r="AD196" s="242"/>
      <c r="AE196" s="242"/>
      <c r="AF196" s="242"/>
      <c r="AG196" s="242"/>
      <c r="AH196" s="242"/>
      <c r="AI196" s="242"/>
      <c r="AJ196" s="242"/>
      <c r="AK196" s="244"/>
    </row>
    <row r="197" spans="1:37" s="178" customFormat="1" ht="14.25">
      <c r="A197" s="242"/>
      <c r="B197" s="273"/>
      <c r="C197" s="273"/>
      <c r="D197" s="242"/>
      <c r="E197" s="242"/>
      <c r="F197" s="242"/>
      <c r="G197" s="242"/>
      <c r="H197" s="242"/>
      <c r="I197" s="242"/>
      <c r="J197" s="242"/>
      <c r="K197" s="242"/>
      <c r="L197" s="242"/>
      <c r="M197" s="242">
        <v>0.8</v>
      </c>
      <c r="N197" s="242"/>
      <c r="O197" s="242"/>
      <c r="P197" s="242">
        <v>2.5</v>
      </c>
      <c r="Q197" s="242"/>
      <c r="R197" s="242">
        <v>1</v>
      </c>
      <c r="S197" s="287"/>
      <c r="T197" s="284">
        <f>U193*P197*M197*R197</f>
        <v>130000</v>
      </c>
      <c r="U197" s="285"/>
      <c r="V197" s="285"/>
      <c r="W197" s="285"/>
      <c r="X197" s="285"/>
      <c r="Y197" s="294"/>
      <c r="Z197" s="293"/>
      <c r="AA197" s="242"/>
      <c r="AB197" s="242"/>
      <c r="AC197" s="242"/>
      <c r="AD197" s="242"/>
      <c r="AE197" s="242"/>
      <c r="AF197" s="242"/>
      <c r="AG197" s="242"/>
      <c r="AH197" s="242"/>
      <c r="AI197" s="242"/>
      <c r="AJ197" s="242"/>
      <c r="AK197" s="244"/>
    </row>
    <row r="198" spans="1:37" s="178" customFormat="1" ht="14.25">
      <c r="A198" s="242"/>
      <c r="B198" s="273"/>
      <c r="C198" s="273"/>
      <c r="D198" s="242"/>
      <c r="E198" s="242"/>
      <c r="F198" s="242"/>
      <c r="G198" s="242"/>
      <c r="H198" s="242"/>
      <c r="I198" s="242"/>
      <c r="J198" s="242"/>
      <c r="K198" s="242"/>
      <c r="L198" s="242"/>
      <c r="M198" s="242">
        <v>0.8</v>
      </c>
      <c r="N198" s="242"/>
      <c r="O198" s="242"/>
      <c r="P198" s="242">
        <v>2.5</v>
      </c>
      <c r="Q198" s="242"/>
      <c r="R198" s="242">
        <v>0.9</v>
      </c>
      <c r="S198" s="287"/>
      <c r="T198" s="284">
        <f>U193*P198*M198*R198</f>
        <v>117000</v>
      </c>
      <c r="U198" s="285"/>
      <c r="V198" s="285"/>
      <c r="W198" s="285"/>
      <c r="X198" s="285"/>
      <c r="Y198" s="294"/>
      <c r="Z198" s="293"/>
      <c r="AA198" s="242"/>
      <c r="AB198" s="242"/>
      <c r="AC198" s="242"/>
      <c r="AD198" s="242"/>
      <c r="AE198" s="242"/>
      <c r="AF198" s="242"/>
      <c r="AG198" s="242"/>
      <c r="AH198" s="242"/>
      <c r="AI198" s="242"/>
      <c r="AJ198" s="242"/>
      <c r="AK198" s="244"/>
    </row>
    <row r="199" spans="1:37" s="178" customFormat="1" ht="14.25">
      <c r="A199" s="242"/>
      <c r="B199" s="273"/>
      <c r="C199" s="273"/>
      <c r="D199" s="242"/>
      <c r="E199" s="242"/>
      <c r="F199" s="242"/>
      <c r="G199" s="242"/>
      <c r="H199" s="242"/>
      <c r="I199" s="242"/>
      <c r="J199" s="242"/>
      <c r="K199" s="242"/>
      <c r="L199" s="242"/>
      <c r="M199" s="242">
        <v>0.8</v>
      </c>
      <c r="N199" s="242"/>
      <c r="O199" s="242"/>
      <c r="P199" s="242">
        <v>2.5</v>
      </c>
      <c r="Q199" s="242"/>
      <c r="R199" s="242">
        <v>0.85</v>
      </c>
      <c r="S199" s="287"/>
      <c r="T199" s="284">
        <f>U193*P199*M199*R199</f>
        <v>110500</v>
      </c>
      <c r="U199" s="285"/>
      <c r="V199" s="285"/>
      <c r="W199" s="285"/>
      <c r="X199" s="285"/>
      <c r="Y199" s="294"/>
      <c r="Z199" s="293"/>
      <c r="AA199" s="242"/>
      <c r="AB199" s="242"/>
      <c r="AC199" s="242"/>
      <c r="AD199" s="242"/>
      <c r="AE199" s="242"/>
      <c r="AF199" s="242"/>
      <c r="AG199" s="242"/>
      <c r="AH199" s="242"/>
      <c r="AI199" s="242"/>
      <c r="AJ199" s="242"/>
      <c r="AK199" s="244"/>
    </row>
    <row r="200" spans="1:37" s="178" customFormat="1" ht="14.25">
      <c r="A200" s="242"/>
      <c r="B200" s="273"/>
      <c r="C200" s="273"/>
      <c r="D200" s="273"/>
      <c r="E200" s="242"/>
      <c r="F200" s="242"/>
      <c r="G200" s="242"/>
      <c r="H200" s="242"/>
      <c r="I200" s="242"/>
      <c r="J200" s="242"/>
      <c r="K200" s="242"/>
      <c r="L200" s="242"/>
      <c r="M200" s="242"/>
      <c r="N200" s="242"/>
      <c r="O200" s="242"/>
      <c r="P200" s="242"/>
      <c r="Q200" s="242"/>
      <c r="R200" s="242"/>
      <c r="S200" s="287"/>
      <c r="T200" s="287"/>
      <c r="U200" s="287"/>
      <c r="V200" s="287"/>
      <c r="W200" s="287"/>
      <c r="X200" s="287"/>
      <c r="Y200" s="287"/>
      <c r="Z200" s="294"/>
      <c r="AA200" s="242"/>
      <c r="AB200" s="242"/>
      <c r="AC200" s="242"/>
      <c r="AD200" s="242"/>
      <c r="AE200" s="242"/>
      <c r="AF200" s="242"/>
      <c r="AG200" s="242"/>
      <c r="AH200" s="242"/>
      <c r="AI200" s="242"/>
      <c r="AJ200" s="242"/>
      <c r="AK200" s="244"/>
    </row>
    <row r="201" spans="1:37" s="178" customFormat="1" ht="14.25">
      <c r="A201" s="242"/>
      <c r="B201" s="273"/>
      <c r="C201" s="273"/>
      <c r="D201" s="242"/>
      <c r="E201" s="242"/>
      <c r="F201" s="242"/>
      <c r="G201" s="242"/>
      <c r="H201" s="242"/>
      <c r="I201" s="242"/>
      <c r="J201" s="242"/>
      <c r="K201" s="242"/>
      <c r="L201" s="242"/>
      <c r="M201" s="280" t="s">
        <v>252</v>
      </c>
      <c r="N201" s="280"/>
      <c r="O201" s="242"/>
      <c r="P201" s="242"/>
      <c r="Q201" s="242"/>
      <c r="R201" s="242"/>
      <c r="S201" s="287"/>
      <c r="T201" s="287"/>
      <c r="U201" s="287"/>
      <c r="V201" s="287"/>
      <c r="W201" s="287"/>
      <c r="X201" s="287"/>
      <c r="Y201" s="287"/>
      <c r="Z201" s="294"/>
      <c r="AA201" s="242"/>
      <c r="AB201" s="242"/>
      <c r="AC201" s="242"/>
      <c r="AD201" s="242"/>
      <c r="AE201" s="242"/>
      <c r="AF201" s="242"/>
      <c r="AG201" s="242"/>
      <c r="AH201" s="242"/>
      <c r="AI201" s="242"/>
      <c r="AJ201" s="242"/>
      <c r="AK201" s="244"/>
    </row>
    <row r="202" spans="1:37" s="178" customFormat="1" ht="14.25">
      <c r="A202" s="242"/>
      <c r="B202" s="273"/>
      <c r="C202" s="273"/>
      <c r="D202" s="273"/>
      <c r="E202" s="242"/>
      <c r="F202" s="242"/>
      <c r="G202" s="242"/>
      <c r="H202" s="242"/>
      <c r="I202" s="242"/>
      <c r="J202" s="242"/>
      <c r="K202" s="242"/>
      <c r="L202" s="242"/>
      <c r="M202" s="281"/>
      <c r="N202" s="281"/>
      <c r="O202" s="242"/>
      <c r="P202" s="242"/>
      <c r="Q202" s="242"/>
      <c r="R202" s="242"/>
      <c r="S202" s="287"/>
      <c r="T202" s="287"/>
      <c r="U202" s="287"/>
      <c r="V202" s="287"/>
      <c r="W202" s="287"/>
      <c r="X202" s="287"/>
      <c r="Y202" s="287"/>
      <c r="Z202" s="294"/>
      <c r="AA202" s="242"/>
      <c r="AB202" s="242"/>
      <c r="AC202" s="242"/>
      <c r="AD202" s="242"/>
      <c r="AE202" s="242"/>
      <c r="AF202" s="242"/>
      <c r="AG202" s="242"/>
      <c r="AH202" s="242"/>
      <c r="AI202" s="242"/>
      <c r="AJ202" s="242"/>
      <c r="AK202" s="244"/>
    </row>
    <row r="203" spans="1:37" s="178" customFormat="1" ht="14.25">
      <c r="A203" s="242"/>
      <c r="B203" s="273"/>
      <c r="C203" s="273"/>
      <c r="D203" s="273"/>
      <c r="E203" s="242"/>
      <c r="F203" s="242"/>
      <c r="G203" s="242"/>
      <c r="H203" s="242"/>
      <c r="I203" s="242"/>
      <c r="J203" s="242"/>
      <c r="K203" s="242"/>
      <c r="L203" s="242"/>
      <c r="M203" s="281" t="s">
        <v>253</v>
      </c>
      <c r="N203" s="281"/>
      <c r="O203" s="242"/>
      <c r="P203" s="242" t="s">
        <v>254</v>
      </c>
      <c r="Q203" s="242"/>
      <c r="R203" s="242" t="s">
        <v>255</v>
      </c>
      <c r="S203" s="287"/>
      <c r="T203" s="287"/>
      <c r="U203" s="287"/>
      <c r="V203" s="287"/>
      <c r="W203" s="285"/>
      <c r="X203" s="286"/>
      <c r="Y203" s="294"/>
      <c r="Z203" s="286" t="e">
        <f>R208</f>
        <v>#REF!</v>
      </c>
      <c r="AA203" s="242"/>
      <c r="AB203" s="242"/>
      <c r="AC203" s="242"/>
      <c r="AD203" s="242"/>
      <c r="AE203" s="242"/>
      <c r="AF203" s="242"/>
      <c r="AG203" s="242"/>
      <c r="AH203" s="242"/>
      <c r="AI203" s="242"/>
      <c r="AJ203" s="242"/>
      <c r="AK203" s="244"/>
    </row>
    <row r="204" spans="1:37" s="178" customFormat="1" ht="14.25">
      <c r="A204" s="242"/>
      <c r="B204" s="273"/>
      <c r="C204" s="273"/>
      <c r="D204" s="242" t="s">
        <v>251</v>
      </c>
      <c r="E204" s="242"/>
      <c r="F204" s="242"/>
      <c r="G204" s="242"/>
      <c r="H204" s="242"/>
      <c r="I204" s="242"/>
      <c r="J204" s="242"/>
      <c r="K204" s="242"/>
      <c r="L204" s="242"/>
      <c r="M204" s="242">
        <v>0.9</v>
      </c>
      <c r="N204" s="242"/>
      <c r="O204" s="242"/>
      <c r="P204" s="242">
        <v>1</v>
      </c>
      <c r="Q204" s="242"/>
      <c r="R204" s="286">
        <f aca="true" t="shared" si="257" ref="R204:R206">T197*M204*P204</f>
        <v>117000</v>
      </c>
      <c r="S204" s="287"/>
      <c r="T204" s="287"/>
      <c r="U204" s="287"/>
      <c r="V204" s="287"/>
      <c r="W204" s="286"/>
      <c r="X204" s="286"/>
      <c r="Y204" s="294"/>
      <c r="Z204" s="285" t="e">
        <f>R209*3</f>
        <v>#REF!</v>
      </c>
      <c r="AA204" s="242"/>
      <c r="AB204" s="242"/>
      <c r="AC204" s="242"/>
      <c r="AD204" s="242"/>
      <c r="AE204" s="242"/>
      <c r="AF204" s="242"/>
      <c r="AG204" s="242"/>
      <c r="AH204" s="242"/>
      <c r="AI204" s="242"/>
      <c r="AJ204" s="242"/>
      <c r="AK204" s="244"/>
    </row>
    <row r="205" spans="1:37" s="178" customFormat="1" ht="14.25">
      <c r="A205" s="242"/>
      <c r="B205" s="273"/>
      <c r="C205" s="273"/>
      <c r="D205" s="242"/>
      <c r="E205" s="242"/>
      <c r="F205" s="242"/>
      <c r="G205" s="242"/>
      <c r="H205" s="242"/>
      <c r="I205" s="242"/>
      <c r="J205" s="242"/>
      <c r="K205" s="242"/>
      <c r="L205" s="242"/>
      <c r="M205" s="242">
        <v>0.9</v>
      </c>
      <c r="N205" s="242"/>
      <c r="O205" s="242"/>
      <c r="P205" s="242">
        <v>1</v>
      </c>
      <c r="Q205" s="242"/>
      <c r="R205" s="286">
        <f t="shared" si="257"/>
        <v>105300</v>
      </c>
      <c r="S205" s="287"/>
      <c r="T205" s="287"/>
      <c r="U205" s="287"/>
      <c r="V205" s="287"/>
      <c r="W205" s="286"/>
      <c r="X205" s="286"/>
      <c r="Y205" s="294"/>
      <c r="Z205" s="242"/>
      <c r="AA205" s="242"/>
      <c r="AB205" s="242"/>
      <c r="AC205" s="242"/>
      <c r="AD205" s="242"/>
      <c r="AE205" s="242"/>
      <c r="AF205" s="242"/>
      <c r="AG205" s="242"/>
      <c r="AH205" s="242"/>
      <c r="AI205" s="242"/>
      <c r="AJ205" s="242"/>
      <c r="AK205" s="244"/>
    </row>
    <row r="206" spans="1:37" s="178" customFormat="1" ht="14.25">
      <c r="A206" s="242"/>
      <c r="B206" s="273"/>
      <c r="C206" s="273"/>
      <c r="D206" s="242"/>
      <c r="E206" s="242"/>
      <c r="F206" s="242"/>
      <c r="G206" s="242"/>
      <c r="H206" s="242"/>
      <c r="I206" s="242"/>
      <c r="J206" s="242"/>
      <c r="K206" s="242"/>
      <c r="L206" s="242"/>
      <c r="M206" s="242">
        <v>0.9</v>
      </c>
      <c r="N206" s="242"/>
      <c r="O206" s="242"/>
      <c r="P206" s="242">
        <v>1</v>
      </c>
      <c r="Q206" s="242"/>
      <c r="R206" s="286">
        <f t="shared" si="257"/>
        <v>99450</v>
      </c>
      <c r="S206" s="287"/>
      <c r="T206" s="287"/>
      <c r="U206" s="287"/>
      <c r="V206" s="287"/>
      <c r="W206" s="286"/>
      <c r="X206" s="286"/>
      <c r="Y206" s="294"/>
      <c r="Z206" s="242"/>
      <c r="AA206" s="242"/>
      <c r="AB206" s="242"/>
      <c r="AC206" s="242"/>
      <c r="AD206" s="242"/>
      <c r="AE206" s="242"/>
      <c r="AF206" s="242"/>
      <c r="AG206" s="242"/>
      <c r="AH206" s="242"/>
      <c r="AI206" s="242"/>
      <c r="AJ206" s="242"/>
      <c r="AK206" s="244"/>
    </row>
    <row r="207" spans="1:37" s="178" customFormat="1" ht="14.25">
      <c r="A207" s="242"/>
      <c r="B207" s="273"/>
      <c r="C207" s="273"/>
      <c r="D207" s="242"/>
      <c r="E207" s="242"/>
      <c r="F207" s="242"/>
      <c r="G207" s="242"/>
      <c r="H207" s="242"/>
      <c r="I207" s="242"/>
      <c r="J207" s="242"/>
      <c r="K207" s="242"/>
      <c r="L207" s="242"/>
      <c r="M207" s="242"/>
      <c r="N207" s="242"/>
      <c r="O207" s="242"/>
      <c r="P207" s="242"/>
      <c r="Q207" s="242"/>
      <c r="R207" s="286"/>
      <c r="S207" s="287"/>
      <c r="T207" s="287"/>
      <c r="U207" s="287"/>
      <c r="V207" s="287"/>
      <c r="W207" s="285"/>
      <c r="X207" s="287"/>
      <c r="Y207" s="294"/>
      <c r="Z207" s="242"/>
      <c r="AA207" s="242"/>
      <c r="AB207" s="242"/>
      <c r="AC207" s="242"/>
      <c r="AD207" s="242"/>
      <c r="AE207" s="242"/>
      <c r="AF207" s="242"/>
      <c r="AG207" s="242"/>
      <c r="AH207" s="242"/>
      <c r="AI207" s="242"/>
      <c r="AJ207" s="242"/>
      <c r="AK207" s="244"/>
    </row>
    <row r="208" spans="1:37" s="178" customFormat="1" ht="14.25">
      <c r="A208" s="242"/>
      <c r="B208" s="273"/>
      <c r="C208" s="273"/>
      <c r="D208" s="242" t="s">
        <v>256</v>
      </c>
      <c r="E208" s="242"/>
      <c r="F208" s="242"/>
      <c r="G208" s="242"/>
      <c r="H208" s="242"/>
      <c r="I208" s="242"/>
      <c r="J208" s="242"/>
      <c r="K208" s="242"/>
      <c r="L208" s="242"/>
      <c r="M208" s="242">
        <v>0.9</v>
      </c>
      <c r="N208" s="242"/>
      <c r="O208" s="242"/>
      <c r="P208" s="242">
        <v>1</v>
      </c>
      <c r="Q208" s="242"/>
      <c r="R208" s="286" t="e">
        <f>#REF!*M208*P208</f>
        <v>#REF!</v>
      </c>
      <c r="S208" s="287"/>
      <c r="T208" s="286"/>
      <c r="U208" s="287"/>
      <c r="V208" s="287"/>
      <c r="W208" s="286"/>
      <c r="X208" s="287"/>
      <c r="Y208" s="294"/>
      <c r="Z208" s="242"/>
      <c r="AA208" s="242"/>
      <c r="AB208" s="242"/>
      <c r="AC208" s="242"/>
      <c r="AD208" s="242"/>
      <c r="AE208" s="242"/>
      <c r="AF208" s="242"/>
      <c r="AG208" s="242"/>
      <c r="AH208" s="242"/>
      <c r="AI208" s="242"/>
      <c r="AJ208" s="242"/>
      <c r="AK208" s="244"/>
    </row>
    <row r="209" spans="1:37" s="178" customFormat="1" ht="14.25">
      <c r="A209" s="242"/>
      <c r="B209" s="273"/>
      <c r="C209" s="273"/>
      <c r="D209" s="273"/>
      <c r="E209" s="242"/>
      <c r="F209" s="242"/>
      <c r="G209" s="242"/>
      <c r="H209" s="242"/>
      <c r="I209" s="242"/>
      <c r="J209" s="242"/>
      <c r="K209" s="242"/>
      <c r="L209" s="242"/>
      <c r="M209" s="242">
        <v>0.9</v>
      </c>
      <c r="N209" s="242"/>
      <c r="O209" s="242"/>
      <c r="P209" s="242">
        <v>1</v>
      </c>
      <c r="Q209" s="242"/>
      <c r="R209" s="286" t="e">
        <f>#REF!*M209*P209</f>
        <v>#REF!</v>
      </c>
      <c r="S209" s="287"/>
      <c r="T209" s="287"/>
      <c r="U209" s="287"/>
      <c r="V209" s="287"/>
      <c r="W209" s="287"/>
      <c r="X209" s="287"/>
      <c r="Y209" s="294"/>
      <c r="Z209" s="242"/>
      <c r="AA209" s="242"/>
      <c r="AB209" s="242"/>
      <c r="AC209" s="242"/>
      <c r="AD209" s="242"/>
      <c r="AE209" s="242"/>
      <c r="AF209" s="242"/>
      <c r="AG209" s="242"/>
      <c r="AH209" s="242"/>
      <c r="AI209" s="242"/>
      <c r="AJ209" s="242"/>
      <c r="AK209" s="244"/>
    </row>
    <row r="210" spans="1:37" s="178" customFormat="1" ht="14.25">
      <c r="A210" s="242"/>
      <c r="B210" s="273"/>
      <c r="C210" s="273"/>
      <c r="D210" s="273"/>
      <c r="E210" s="242"/>
      <c r="F210" s="242"/>
      <c r="G210" s="242"/>
      <c r="H210" s="242"/>
      <c r="I210" s="242"/>
      <c r="J210" s="242"/>
      <c r="K210" s="242"/>
      <c r="L210" s="242"/>
      <c r="M210" s="242">
        <v>0.9</v>
      </c>
      <c r="N210" s="242"/>
      <c r="O210" s="242"/>
      <c r="P210" s="242">
        <v>1</v>
      </c>
      <c r="Q210" s="242"/>
      <c r="R210" s="286" t="e">
        <f>#REF!*M210*P210</f>
        <v>#REF!</v>
      </c>
      <c r="S210" s="287"/>
      <c r="T210" s="287"/>
      <c r="U210" s="287"/>
      <c r="V210" s="287"/>
      <c r="W210" s="287"/>
      <c r="X210" s="287"/>
      <c r="Y210" s="294"/>
      <c r="Z210" s="242"/>
      <c r="AA210" s="242"/>
      <c r="AB210" s="242"/>
      <c r="AC210" s="242"/>
      <c r="AD210" s="242"/>
      <c r="AE210" s="242"/>
      <c r="AF210" s="242"/>
      <c r="AG210" s="242"/>
      <c r="AH210" s="242"/>
      <c r="AI210" s="242"/>
      <c r="AJ210" s="242"/>
      <c r="AK210" s="244"/>
    </row>
    <row r="211" spans="1:37" s="178" customFormat="1" ht="14.25">
      <c r="A211" s="242"/>
      <c r="B211" s="273"/>
      <c r="C211" s="273"/>
      <c r="D211" s="273"/>
      <c r="E211" s="242"/>
      <c r="F211" s="242"/>
      <c r="G211" s="242"/>
      <c r="H211" s="242"/>
      <c r="I211" s="242"/>
      <c r="J211" s="242"/>
      <c r="K211" s="242"/>
      <c r="L211" s="242"/>
      <c r="M211" s="242"/>
      <c r="N211" s="242"/>
      <c r="O211" s="242"/>
      <c r="P211" s="242"/>
      <c r="Q211" s="242"/>
      <c r="R211" s="287"/>
      <c r="S211" s="287"/>
      <c r="T211" s="287"/>
      <c r="U211" s="287"/>
      <c r="V211" s="287"/>
      <c r="W211" s="242"/>
      <c r="X211" s="242"/>
      <c r="Y211" s="242"/>
      <c r="Z211" s="230"/>
      <c r="AA211" s="242"/>
      <c r="AB211" s="242"/>
      <c r="AC211" s="242"/>
      <c r="AD211" s="242"/>
      <c r="AE211" s="242"/>
      <c r="AF211" s="242"/>
      <c r="AG211" s="242"/>
      <c r="AH211" s="242"/>
      <c r="AI211" s="242"/>
      <c r="AJ211" s="242"/>
      <c r="AK211" s="244"/>
    </row>
    <row r="212" spans="1:37" s="178" customFormat="1" ht="14.25">
      <c r="A212" s="242"/>
      <c r="B212" s="273"/>
      <c r="C212" s="273"/>
      <c r="D212" s="273"/>
      <c r="E212" s="242"/>
      <c r="F212" s="242"/>
      <c r="G212" s="242"/>
      <c r="H212" s="242"/>
      <c r="I212" s="242"/>
      <c r="J212" s="242"/>
      <c r="K212" s="242"/>
      <c r="L212" s="242"/>
      <c r="M212" s="280" t="s">
        <v>257</v>
      </c>
      <c r="N212" s="280"/>
      <c r="O212" s="242"/>
      <c r="P212" s="242"/>
      <c r="Q212" s="242"/>
      <c r="R212" s="242"/>
      <c r="S212" s="242"/>
      <c r="T212" s="242"/>
      <c r="U212" s="242"/>
      <c r="V212" s="242"/>
      <c r="W212" s="242"/>
      <c r="X212" s="242"/>
      <c r="Y212" s="242"/>
      <c r="Z212" s="230"/>
      <c r="AA212" s="242"/>
      <c r="AB212" s="242"/>
      <c r="AC212" s="242"/>
      <c r="AD212" s="242"/>
      <c r="AE212" s="242"/>
      <c r="AF212" s="242"/>
      <c r="AG212" s="242"/>
      <c r="AH212" s="242"/>
      <c r="AI212" s="242"/>
      <c r="AJ212" s="242"/>
      <c r="AK212" s="244"/>
    </row>
    <row r="213" spans="1:37" s="178" customFormat="1" ht="14.25">
      <c r="A213" s="242"/>
      <c r="B213" s="273"/>
      <c r="C213" s="273"/>
      <c r="D213" s="273"/>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30"/>
      <c r="AA213" s="242"/>
      <c r="AB213" s="242"/>
      <c r="AC213" s="242"/>
      <c r="AD213" s="242"/>
      <c r="AE213" s="242"/>
      <c r="AF213" s="242"/>
      <c r="AG213" s="242"/>
      <c r="AH213" s="242"/>
      <c r="AI213" s="242"/>
      <c r="AJ213" s="242"/>
      <c r="AK213" s="244"/>
    </row>
    <row r="214" spans="1:37" s="178" customFormat="1" ht="14.25">
      <c r="A214" s="242"/>
      <c r="B214" s="273"/>
      <c r="C214" s="273"/>
      <c r="D214" s="273"/>
      <c r="E214" s="242"/>
      <c r="F214" s="242"/>
      <c r="G214" s="242"/>
      <c r="H214" s="242"/>
      <c r="I214" s="242"/>
      <c r="J214" s="242"/>
      <c r="K214" s="242"/>
      <c r="L214" s="242"/>
      <c r="M214" s="242" t="s">
        <v>258</v>
      </c>
      <c r="N214" s="242"/>
      <c r="O214" s="242"/>
      <c r="P214" s="242"/>
      <c r="Q214" s="242" t="s">
        <v>259</v>
      </c>
      <c r="R214" s="242"/>
      <c r="S214" s="242"/>
      <c r="T214" s="242" t="s">
        <v>260</v>
      </c>
      <c r="U214" s="242"/>
      <c r="V214" s="242"/>
      <c r="W214" s="242"/>
      <c r="X214" s="242"/>
      <c r="Y214" s="242"/>
      <c r="Z214" s="230"/>
      <c r="AA214" s="242"/>
      <c r="AB214" s="242"/>
      <c r="AC214" s="242"/>
      <c r="AD214" s="242"/>
      <c r="AE214" s="242"/>
      <c r="AF214" s="242"/>
      <c r="AG214" s="242"/>
      <c r="AH214" s="242"/>
      <c r="AI214" s="242"/>
      <c r="AJ214" s="242"/>
      <c r="AK214" s="244"/>
    </row>
    <row r="215" spans="1:37" s="178" customFormat="1" ht="14.25">
      <c r="A215" s="242"/>
      <c r="B215" s="273"/>
      <c r="C215" s="273"/>
      <c r="D215" s="242" t="s">
        <v>251</v>
      </c>
      <c r="E215" s="242"/>
      <c r="F215" s="242"/>
      <c r="G215" s="242"/>
      <c r="H215" s="242"/>
      <c r="I215" s="242"/>
      <c r="J215" s="242"/>
      <c r="K215" s="242"/>
      <c r="L215" s="242"/>
      <c r="M215" s="282">
        <f aca="true" t="shared" si="258" ref="M215:M217">T197+R204</f>
        <v>247000</v>
      </c>
      <c r="N215" s="283"/>
      <c r="O215" s="242"/>
      <c r="P215" s="242"/>
      <c r="Q215" s="288">
        <v>0.15</v>
      </c>
      <c r="R215" s="242"/>
      <c r="S215" s="242"/>
      <c r="T215" s="289">
        <f aca="true" t="shared" si="259" ref="T215:T217">M215*Q215</f>
        <v>37050</v>
      </c>
      <c r="U215" s="242"/>
      <c r="V215" s="242"/>
      <c r="W215" s="242">
        <f aca="true" t="shared" si="260" ref="W215:W217">T215/3</f>
        <v>12350</v>
      </c>
      <c r="X215" s="242"/>
      <c r="Y215" s="242"/>
      <c r="Z215" s="230"/>
      <c r="AA215" s="242"/>
      <c r="AB215" s="242"/>
      <c r="AC215" s="242"/>
      <c r="AD215" s="242"/>
      <c r="AE215" s="242"/>
      <c r="AF215" s="242"/>
      <c r="AG215" s="242"/>
      <c r="AH215" s="242"/>
      <c r="AI215" s="242"/>
      <c r="AJ215" s="242"/>
      <c r="AK215" s="244"/>
    </row>
    <row r="216" spans="1:37" s="178" customFormat="1" ht="14.25">
      <c r="A216" s="242"/>
      <c r="B216" s="273"/>
      <c r="C216" s="273"/>
      <c r="D216" s="242"/>
      <c r="E216" s="242"/>
      <c r="F216" s="242"/>
      <c r="G216" s="242"/>
      <c r="H216" s="242"/>
      <c r="I216" s="242"/>
      <c r="J216" s="242"/>
      <c r="K216" s="242"/>
      <c r="L216" s="242"/>
      <c r="M216" s="282">
        <f t="shared" si="258"/>
        <v>222300</v>
      </c>
      <c r="N216" s="283"/>
      <c r="O216" s="242"/>
      <c r="P216" s="242"/>
      <c r="Q216" s="288">
        <v>0.15</v>
      </c>
      <c r="R216" s="242"/>
      <c r="S216" s="242"/>
      <c r="T216" s="289">
        <f t="shared" si="259"/>
        <v>33345</v>
      </c>
      <c r="U216" s="242"/>
      <c r="V216" s="242"/>
      <c r="W216" s="242">
        <f t="shared" si="260"/>
        <v>11115</v>
      </c>
      <c r="X216" s="242"/>
      <c r="Y216" s="242"/>
      <c r="Z216" s="230"/>
      <c r="AA216" s="242"/>
      <c r="AB216" s="242"/>
      <c r="AC216" s="242"/>
      <c r="AD216" s="242"/>
      <c r="AE216" s="242"/>
      <c r="AF216" s="242"/>
      <c r="AG216" s="242"/>
      <c r="AH216" s="242"/>
      <c r="AI216" s="242"/>
      <c r="AJ216" s="242"/>
      <c r="AK216" s="244"/>
    </row>
    <row r="217" spans="1:37" s="178" customFormat="1" ht="14.25">
      <c r="A217" s="242"/>
      <c r="B217" s="273"/>
      <c r="C217" s="273"/>
      <c r="D217" s="242"/>
      <c r="E217" s="242"/>
      <c r="F217" s="242"/>
      <c r="G217" s="242"/>
      <c r="H217" s="242"/>
      <c r="I217" s="242"/>
      <c r="J217" s="242"/>
      <c r="K217" s="242"/>
      <c r="L217" s="242"/>
      <c r="M217" s="282">
        <f t="shared" si="258"/>
        <v>209950</v>
      </c>
      <c r="N217" s="283"/>
      <c r="O217" s="242"/>
      <c r="P217" s="242"/>
      <c r="Q217" s="288">
        <v>0.15</v>
      </c>
      <c r="R217" s="242"/>
      <c r="S217" s="242"/>
      <c r="T217" s="289">
        <f t="shared" si="259"/>
        <v>31492.5</v>
      </c>
      <c r="U217" s="242"/>
      <c r="V217" s="242"/>
      <c r="W217" s="242">
        <f t="shared" si="260"/>
        <v>10497.5</v>
      </c>
      <c r="X217" s="242"/>
      <c r="Y217" s="242"/>
      <c r="Z217" s="230"/>
      <c r="AA217" s="242"/>
      <c r="AB217" s="242"/>
      <c r="AC217" s="242"/>
      <c r="AD217" s="242"/>
      <c r="AE217" s="242"/>
      <c r="AF217" s="242"/>
      <c r="AG217" s="242"/>
      <c r="AH217" s="242"/>
      <c r="AI217" s="242"/>
      <c r="AJ217" s="242"/>
      <c r="AK217" s="244"/>
    </row>
    <row r="218" spans="1:37" s="178" customFormat="1" ht="14.25">
      <c r="A218" s="242"/>
      <c r="B218" s="273"/>
      <c r="C218" s="273"/>
      <c r="D218" s="242"/>
      <c r="E218" s="242"/>
      <c r="F218" s="242"/>
      <c r="G218" s="242"/>
      <c r="H218" s="242"/>
      <c r="I218" s="242"/>
      <c r="J218" s="242"/>
      <c r="K218" s="242"/>
      <c r="L218" s="242"/>
      <c r="M218" s="242"/>
      <c r="N218" s="242"/>
      <c r="O218" s="242"/>
      <c r="P218" s="242"/>
      <c r="Q218" s="242"/>
      <c r="R218" s="242"/>
      <c r="S218" s="242"/>
      <c r="T218" s="289"/>
      <c r="U218" s="242"/>
      <c r="V218" s="242"/>
      <c r="W218" s="242"/>
      <c r="X218" s="242"/>
      <c r="Y218" s="242"/>
      <c r="Z218" s="230"/>
      <c r="AA218" s="242"/>
      <c r="AB218" s="242"/>
      <c r="AC218" s="242"/>
      <c r="AD218" s="242"/>
      <c r="AE218" s="242"/>
      <c r="AF218" s="242"/>
      <c r="AG218" s="242"/>
      <c r="AH218" s="242"/>
      <c r="AI218" s="242"/>
      <c r="AJ218" s="242"/>
      <c r="AK218" s="244"/>
    </row>
    <row r="219" spans="1:37" s="178" customFormat="1" ht="14.25">
      <c r="A219" s="242"/>
      <c r="B219" s="273"/>
      <c r="C219" s="273"/>
      <c r="D219" s="242" t="s">
        <v>256</v>
      </c>
      <c r="E219" s="242"/>
      <c r="F219" s="242"/>
      <c r="G219" s="242"/>
      <c r="H219" s="242"/>
      <c r="I219" s="242"/>
      <c r="J219" s="242"/>
      <c r="K219" s="242"/>
      <c r="L219" s="242"/>
      <c r="M219" s="283" t="e">
        <f>#REF!+R208</f>
        <v>#REF!</v>
      </c>
      <c r="N219" s="283"/>
      <c r="O219" s="242"/>
      <c r="P219" s="242"/>
      <c r="Q219" s="288">
        <v>0.15</v>
      </c>
      <c r="R219" s="242"/>
      <c r="S219" s="242"/>
      <c r="T219" s="289" t="e">
        <f aca="true" t="shared" si="261" ref="T219:T221">M219*Q219</f>
        <v>#REF!</v>
      </c>
      <c r="U219" s="242"/>
      <c r="V219" s="242"/>
      <c r="W219" s="242"/>
      <c r="X219" s="242"/>
      <c r="Y219" s="242"/>
      <c r="Z219" s="230"/>
      <c r="AA219" s="242"/>
      <c r="AB219" s="242"/>
      <c r="AC219" s="242"/>
      <c r="AD219" s="242"/>
      <c r="AE219" s="242"/>
      <c r="AF219" s="242"/>
      <c r="AG219" s="242"/>
      <c r="AH219" s="242"/>
      <c r="AI219" s="242"/>
      <c r="AJ219" s="242"/>
      <c r="AK219" s="244"/>
    </row>
    <row r="220" spans="1:37" s="178" customFormat="1" ht="14.25">
      <c r="A220" s="242"/>
      <c r="B220" s="273"/>
      <c r="C220" s="273"/>
      <c r="D220" s="273"/>
      <c r="E220" s="242"/>
      <c r="F220" s="242"/>
      <c r="G220" s="242"/>
      <c r="H220" s="242"/>
      <c r="I220" s="242"/>
      <c r="J220" s="242"/>
      <c r="K220" s="242"/>
      <c r="L220" s="242"/>
      <c r="M220" s="283" t="e">
        <f>#REF!+R209</f>
        <v>#REF!</v>
      </c>
      <c r="N220" s="283"/>
      <c r="O220" s="242"/>
      <c r="P220" s="242"/>
      <c r="Q220" s="288">
        <v>0.15</v>
      </c>
      <c r="R220" s="242"/>
      <c r="S220" s="242"/>
      <c r="T220" s="289" t="e">
        <f t="shared" si="261"/>
        <v>#REF!</v>
      </c>
      <c r="U220" s="242"/>
      <c r="V220" s="242"/>
      <c r="W220" s="242"/>
      <c r="X220" s="242"/>
      <c r="Y220" s="242"/>
      <c r="Z220" s="230"/>
      <c r="AA220" s="242"/>
      <c r="AB220" s="242"/>
      <c r="AC220" s="242"/>
      <c r="AD220" s="242"/>
      <c r="AE220" s="242"/>
      <c r="AF220" s="242"/>
      <c r="AG220" s="242"/>
      <c r="AH220" s="242"/>
      <c r="AI220" s="242"/>
      <c r="AJ220" s="242"/>
      <c r="AK220" s="244"/>
    </row>
    <row r="221" spans="1:37" s="178" customFormat="1" ht="14.25">
      <c r="A221" s="242"/>
      <c r="B221" s="273"/>
      <c r="C221" s="273"/>
      <c r="D221" s="273"/>
      <c r="E221" s="242"/>
      <c r="F221" s="242"/>
      <c r="G221" s="242"/>
      <c r="H221" s="242"/>
      <c r="I221" s="242"/>
      <c r="J221" s="242"/>
      <c r="K221" s="242"/>
      <c r="L221" s="242"/>
      <c r="M221" s="283" t="e">
        <f>#REF!+R210</f>
        <v>#REF!</v>
      </c>
      <c r="N221" s="283"/>
      <c r="O221" s="242"/>
      <c r="P221" s="242"/>
      <c r="Q221" s="288">
        <v>0.15</v>
      </c>
      <c r="R221" s="242"/>
      <c r="S221" s="242"/>
      <c r="T221" s="289" t="e">
        <f t="shared" si="261"/>
        <v>#REF!</v>
      </c>
      <c r="U221" s="242"/>
      <c r="V221" s="242"/>
      <c r="W221" s="242"/>
      <c r="X221" s="242"/>
      <c r="Y221" s="242"/>
      <c r="Z221" s="230"/>
      <c r="AA221" s="242"/>
      <c r="AB221" s="242"/>
      <c r="AC221" s="242"/>
      <c r="AD221" s="242"/>
      <c r="AE221" s="242"/>
      <c r="AF221" s="242"/>
      <c r="AG221" s="242"/>
      <c r="AH221" s="242"/>
      <c r="AI221" s="242"/>
      <c r="AJ221" s="242"/>
      <c r="AK221" s="244"/>
    </row>
    <row r="222" spans="1:37" s="178" customFormat="1" ht="14.25">
      <c r="A222" s="242"/>
      <c r="B222" s="273"/>
      <c r="C222" s="273"/>
      <c r="D222" s="273"/>
      <c r="E222" s="242"/>
      <c r="F222" s="242"/>
      <c r="G222" s="242"/>
      <c r="H222" s="242"/>
      <c r="I222" s="242"/>
      <c r="J222" s="242"/>
      <c r="K222" s="242"/>
      <c r="L222" s="242"/>
      <c r="M222" s="242"/>
      <c r="N222" s="242"/>
      <c r="O222" s="242"/>
      <c r="P222" s="242"/>
      <c r="Q222" s="242"/>
      <c r="R222" s="242"/>
      <c r="S222" s="242"/>
      <c r="T222" s="242"/>
      <c r="U222" s="242"/>
      <c r="V222" s="242"/>
      <c r="W222" s="242"/>
      <c r="X222" s="242"/>
      <c r="Y222" s="242"/>
      <c r="Z222" s="230"/>
      <c r="AA222" s="242"/>
      <c r="AB222" s="242"/>
      <c r="AC222" s="242"/>
      <c r="AD222" s="242"/>
      <c r="AE222" s="242"/>
      <c r="AF222" s="242"/>
      <c r="AG222" s="242"/>
      <c r="AH222" s="242"/>
      <c r="AI222" s="242"/>
      <c r="AJ222" s="242"/>
      <c r="AK222" s="244"/>
    </row>
    <row r="223" spans="1:37" s="178" customFormat="1" ht="14.25">
      <c r="A223" s="242"/>
      <c r="B223" s="273"/>
      <c r="C223" s="273"/>
      <c r="D223" s="273"/>
      <c r="E223" s="242"/>
      <c r="F223" s="242"/>
      <c r="G223" s="242"/>
      <c r="H223" s="242"/>
      <c r="I223" s="242"/>
      <c r="J223" s="242"/>
      <c r="K223" s="242"/>
      <c r="L223" s="242"/>
      <c r="M223" s="242" t="s">
        <v>261</v>
      </c>
      <c r="N223" s="242"/>
      <c r="O223" s="242" t="s">
        <v>255</v>
      </c>
      <c r="P223" s="242" t="s">
        <v>262</v>
      </c>
      <c r="Q223" s="242"/>
      <c r="R223" s="242" t="s">
        <v>263</v>
      </c>
      <c r="S223" s="242"/>
      <c r="T223" s="242"/>
      <c r="U223" s="242"/>
      <c r="V223" s="242"/>
      <c r="W223" s="242"/>
      <c r="X223" s="242"/>
      <c r="Y223" s="242"/>
      <c r="Z223" s="230"/>
      <c r="AA223" s="242"/>
      <c r="AB223" s="242"/>
      <c r="AC223" s="242"/>
      <c r="AD223" s="242"/>
      <c r="AE223" s="242"/>
      <c r="AF223" s="242"/>
      <c r="AG223" s="242"/>
      <c r="AH223" s="242"/>
      <c r="AI223" s="242"/>
      <c r="AJ223" s="242"/>
      <c r="AK223" s="244"/>
    </row>
    <row r="224" spans="1:37" s="178" customFormat="1" ht="14.25">
      <c r="A224" s="242"/>
      <c r="B224" s="273"/>
      <c r="C224" s="273"/>
      <c r="D224" s="273"/>
      <c r="E224" s="242"/>
      <c r="F224" s="242" t="s">
        <v>264</v>
      </c>
      <c r="G224" s="242"/>
      <c r="H224" s="242"/>
      <c r="I224" s="242"/>
      <c r="J224" s="242"/>
      <c r="K224" s="242"/>
      <c r="L224" s="242"/>
      <c r="M224" s="284">
        <f aca="true" t="shared" si="262" ref="M224:M226">T197</f>
        <v>130000</v>
      </c>
      <c r="N224" s="285"/>
      <c r="O224" s="285">
        <f aca="true" t="shared" si="263" ref="O224:O226">R204</f>
        <v>117000</v>
      </c>
      <c r="P224" s="286">
        <f aca="true" t="shared" si="264" ref="P224:P230">T215</f>
        <v>37050</v>
      </c>
      <c r="Q224" s="287"/>
      <c r="R224" s="285">
        <f aca="true" t="shared" si="265" ref="R224:R226">SUM(M224:Q224)</f>
        <v>284050</v>
      </c>
      <c r="S224" s="242"/>
      <c r="T224" s="290">
        <f aca="true" t="shared" si="266" ref="T224:T229">R224*1</f>
        <v>284050</v>
      </c>
      <c r="U224" s="242"/>
      <c r="V224" s="242"/>
      <c r="W224" s="242"/>
      <c r="X224" s="242"/>
      <c r="Y224" s="242"/>
      <c r="Z224" s="230"/>
      <c r="AA224" s="242"/>
      <c r="AB224" s="242"/>
      <c r="AC224" s="242"/>
      <c r="AD224" s="242"/>
      <c r="AE224" s="242"/>
      <c r="AF224" s="242"/>
      <c r="AG224" s="242"/>
      <c r="AH224" s="242"/>
      <c r="AI224" s="242"/>
      <c r="AJ224" s="242"/>
      <c r="AK224" s="244"/>
    </row>
    <row r="225" spans="1:40" s="175" customFormat="1" ht="14.25">
      <c r="A225" s="242"/>
      <c r="B225" s="273"/>
      <c r="C225" s="273"/>
      <c r="D225" s="273"/>
      <c r="E225" s="242"/>
      <c r="F225" s="242"/>
      <c r="G225" s="242"/>
      <c r="H225" s="242"/>
      <c r="I225" s="242"/>
      <c r="J225" s="242"/>
      <c r="K225" s="242"/>
      <c r="L225" s="242"/>
      <c r="M225" s="284">
        <f t="shared" si="262"/>
        <v>117000</v>
      </c>
      <c r="N225" s="285"/>
      <c r="O225" s="286">
        <f t="shared" si="263"/>
        <v>105300</v>
      </c>
      <c r="P225" s="286">
        <f t="shared" si="264"/>
        <v>33345</v>
      </c>
      <c r="Q225" s="287"/>
      <c r="R225" s="285">
        <f t="shared" si="265"/>
        <v>255645</v>
      </c>
      <c r="S225" s="242"/>
      <c r="T225" s="290">
        <f t="shared" si="266"/>
        <v>255645</v>
      </c>
      <c r="U225" s="242"/>
      <c r="V225" s="242"/>
      <c r="W225" s="242"/>
      <c r="X225" s="242"/>
      <c r="Y225" s="242"/>
      <c r="Z225" s="230"/>
      <c r="AA225" s="242"/>
      <c r="AB225" s="242"/>
      <c r="AC225" s="242"/>
      <c r="AD225" s="242"/>
      <c r="AE225" s="242"/>
      <c r="AF225" s="242"/>
      <c r="AG225" s="242"/>
      <c r="AH225" s="242"/>
      <c r="AI225" s="242"/>
      <c r="AJ225" s="242"/>
      <c r="AK225" s="244"/>
      <c r="AL225" s="178"/>
      <c r="AM225" s="178"/>
      <c r="AN225" s="178"/>
    </row>
    <row r="226" spans="1:37" s="178" customFormat="1" ht="14.25">
      <c r="A226" s="242"/>
      <c r="B226" s="273"/>
      <c r="C226" s="273"/>
      <c r="D226" s="273"/>
      <c r="E226" s="242"/>
      <c r="F226" s="242"/>
      <c r="G226" s="242"/>
      <c r="H226" s="242"/>
      <c r="I226" s="242"/>
      <c r="J226" s="242"/>
      <c r="K226" s="242"/>
      <c r="L226" s="242"/>
      <c r="M226" s="284">
        <f t="shared" si="262"/>
        <v>110500</v>
      </c>
      <c r="N226" s="285"/>
      <c r="O226" s="286">
        <f t="shared" si="263"/>
        <v>99450</v>
      </c>
      <c r="P226" s="286">
        <f t="shared" si="264"/>
        <v>31492.5</v>
      </c>
      <c r="Q226" s="287"/>
      <c r="R226" s="285">
        <f t="shared" si="265"/>
        <v>241442.5</v>
      </c>
      <c r="S226" s="242"/>
      <c r="T226" s="290">
        <f>R226*3</f>
        <v>724327.5</v>
      </c>
      <c r="U226" s="242"/>
      <c r="V226" s="242"/>
      <c r="W226" s="242"/>
      <c r="X226" s="242"/>
      <c r="Y226" s="242"/>
      <c r="Z226" s="230"/>
      <c r="AA226" s="242"/>
      <c r="AB226" s="242"/>
      <c r="AC226" s="242"/>
      <c r="AD226" s="242"/>
      <c r="AE226" s="242"/>
      <c r="AF226" s="242"/>
      <c r="AG226" s="242"/>
      <c r="AH226" s="242"/>
      <c r="AI226" s="242"/>
      <c r="AJ226" s="242"/>
      <c r="AK226" s="244"/>
    </row>
    <row r="227" spans="1:40" s="175" customFormat="1" ht="14.25">
      <c r="A227" s="242"/>
      <c r="B227" s="273"/>
      <c r="C227" s="273"/>
      <c r="D227" s="273"/>
      <c r="E227" s="242"/>
      <c r="F227" s="242"/>
      <c r="G227" s="242"/>
      <c r="H227" s="242"/>
      <c r="I227" s="242"/>
      <c r="J227" s="242"/>
      <c r="K227" s="242"/>
      <c r="L227" s="242"/>
      <c r="M227" s="287"/>
      <c r="N227" s="287"/>
      <c r="O227" s="287"/>
      <c r="P227" s="286">
        <f t="shared" si="264"/>
        <v>0</v>
      </c>
      <c r="Q227" s="287"/>
      <c r="R227" s="285"/>
      <c r="S227" s="242"/>
      <c r="T227" s="289"/>
      <c r="U227" s="286">
        <f>SUM(T224:T225)</f>
        <v>539695</v>
      </c>
      <c r="V227" s="286"/>
      <c r="W227" s="242"/>
      <c r="X227" s="242"/>
      <c r="Y227" s="242"/>
      <c r="Z227" s="230"/>
      <c r="AA227" s="242"/>
      <c r="AB227" s="242"/>
      <c r="AC227" s="242"/>
      <c r="AD227" s="242"/>
      <c r="AE227" s="242"/>
      <c r="AF227" s="242"/>
      <c r="AG227" s="242"/>
      <c r="AH227" s="242"/>
      <c r="AI227" s="242"/>
      <c r="AJ227" s="242"/>
      <c r="AK227" s="244"/>
      <c r="AL227" s="178"/>
      <c r="AM227" s="178"/>
      <c r="AN227" s="178"/>
    </row>
    <row r="228" spans="1:40" s="175" customFormat="1" ht="14.25">
      <c r="A228" s="242"/>
      <c r="B228" s="273"/>
      <c r="C228" s="273"/>
      <c r="D228" s="273"/>
      <c r="E228" s="242"/>
      <c r="F228" s="275" t="s">
        <v>265</v>
      </c>
      <c r="G228" s="229"/>
      <c r="H228" s="229"/>
      <c r="I228" s="229"/>
      <c r="J228" s="229"/>
      <c r="K228" s="229"/>
      <c r="L228" s="229"/>
      <c r="M228" s="285" t="e">
        <f>#REF!</f>
        <v>#REF!</v>
      </c>
      <c r="N228" s="285"/>
      <c r="O228" s="286" t="e">
        <f aca="true" t="shared" si="267" ref="O228:O230">R208</f>
        <v>#REF!</v>
      </c>
      <c r="P228" s="286" t="e">
        <f t="shared" si="264"/>
        <v>#REF!</v>
      </c>
      <c r="Q228" s="287"/>
      <c r="R228" s="285" t="e">
        <f aca="true" t="shared" si="268" ref="R228:R230">SUM(M228:Q228)</f>
        <v>#REF!</v>
      </c>
      <c r="S228" s="229"/>
      <c r="T228" s="291" t="e">
        <f t="shared" si="266"/>
        <v>#REF!</v>
      </c>
      <c r="U228" s="286"/>
      <c r="V228" s="286"/>
      <c r="W228" s="242"/>
      <c r="X228" s="242"/>
      <c r="Y228" s="242"/>
      <c r="Z228" s="230"/>
      <c r="AA228" s="242"/>
      <c r="AB228" s="242"/>
      <c r="AC228" s="242"/>
      <c r="AD228" s="242"/>
      <c r="AE228" s="242"/>
      <c r="AF228" s="242"/>
      <c r="AG228" s="242"/>
      <c r="AH228" s="242"/>
      <c r="AI228" s="242"/>
      <c r="AJ228" s="242"/>
      <c r="AK228" s="244"/>
      <c r="AL228" s="178"/>
      <c r="AM228" s="178"/>
      <c r="AN228" s="178"/>
    </row>
    <row r="229" spans="1:40" s="175" customFormat="1" ht="14.25">
      <c r="A229" s="242"/>
      <c r="B229" s="273"/>
      <c r="C229" s="273"/>
      <c r="D229" s="273"/>
      <c r="E229" s="242"/>
      <c r="F229" s="229"/>
      <c r="G229" s="229"/>
      <c r="H229" s="229"/>
      <c r="I229" s="229"/>
      <c r="J229" s="229"/>
      <c r="K229" s="229"/>
      <c r="L229" s="229"/>
      <c r="M229" s="285" t="e">
        <f>#REF!</f>
        <v>#REF!</v>
      </c>
      <c r="N229" s="285"/>
      <c r="O229" s="286" t="e">
        <f t="shared" si="267"/>
        <v>#REF!</v>
      </c>
      <c r="P229" s="286" t="e">
        <f t="shared" si="264"/>
        <v>#REF!</v>
      </c>
      <c r="Q229" s="287"/>
      <c r="R229" s="285" t="e">
        <f t="shared" si="268"/>
        <v>#REF!</v>
      </c>
      <c r="S229" s="229"/>
      <c r="T229" s="291" t="e">
        <f t="shared" si="266"/>
        <v>#REF!</v>
      </c>
      <c r="U229" s="286"/>
      <c r="V229" s="286"/>
      <c r="W229" s="242"/>
      <c r="X229" s="242"/>
      <c r="Y229" s="242"/>
      <c r="Z229" s="230"/>
      <c r="AA229" s="242"/>
      <c r="AB229" s="242"/>
      <c r="AC229" s="242"/>
      <c r="AD229" s="242"/>
      <c r="AE229" s="242"/>
      <c r="AF229" s="242"/>
      <c r="AG229" s="242"/>
      <c r="AH229" s="242"/>
      <c r="AI229" s="242"/>
      <c r="AJ229" s="242"/>
      <c r="AK229" s="244"/>
      <c r="AL229" s="178"/>
      <c r="AM229" s="178"/>
      <c r="AN229" s="178"/>
    </row>
    <row r="230" spans="1:40" s="175" customFormat="1" ht="14.25">
      <c r="A230" s="242"/>
      <c r="B230" s="273"/>
      <c r="C230" s="273"/>
      <c r="D230" s="273"/>
      <c r="E230" s="242"/>
      <c r="F230" s="229"/>
      <c r="G230" s="229"/>
      <c r="H230" s="229"/>
      <c r="I230" s="229"/>
      <c r="J230" s="229"/>
      <c r="K230" s="229"/>
      <c r="L230" s="229"/>
      <c r="M230" s="285" t="e">
        <f>#REF!</f>
        <v>#REF!</v>
      </c>
      <c r="N230" s="285"/>
      <c r="O230" s="286" t="e">
        <f t="shared" si="267"/>
        <v>#REF!</v>
      </c>
      <c r="P230" s="286" t="e">
        <f t="shared" si="264"/>
        <v>#REF!</v>
      </c>
      <c r="Q230" s="287"/>
      <c r="R230" s="285" t="e">
        <f t="shared" si="268"/>
        <v>#REF!</v>
      </c>
      <c r="S230" s="229"/>
      <c r="T230" s="291" t="e">
        <f>R230*3</f>
        <v>#REF!</v>
      </c>
      <c r="U230" s="286"/>
      <c r="V230" s="286"/>
      <c r="W230" s="242"/>
      <c r="X230" s="242"/>
      <c r="Y230" s="242"/>
      <c r="Z230" s="230"/>
      <c r="AA230" s="242"/>
      <c r="AB230" s="242"/>
      <c r="AC230" s="242"/>
      <c r="AD230" s="242"/>
      <c r="AE230" s="242"/>
      <c r="AF230" s="242"/>
      <c r="AG230" s="242"/>
      <c r="AH230" s="242"/>
      <c r="AI230" s="242"/>
      <c r="AJ230" s="242"/>
      <c r="AK230" s="244"/>
      <c r="AL230" s="178"/>
      <c r="AM230" s="178"/>
      <c r="AN230" s="178"/>
    </row>
    <row r="231" spans="1:40" s="175" customFormat="1" ht="14.25">
      <c r="A231" s="242"/>
      <c r="B231" s="273"/>
      <c r="C231" s="273"/>
      <c r="D231" s="273"/>
      <c r="E231" s="242"/>
      <c r="F231" s="229"/>
      <c r="G231" s="229"/>
      <c r="H231" s="229"/>
      <c r="I231" s="229"/>
      <c r="J231" s="229"/>
      <c r="K231" s="229"/>
      <c r="L231" s="229"/>
      <c r="M231" s="285" t="e">
        <f aca="true" t="shared" si="269" ref="M231:P231">SUM(M228:M230)</f>
        <v>#REF!</v>
      </c>
      <c r="N231" s="285"/>
      <c r="O231" s="285" t="e">
        <f t="shared" si="269"/>
        <v>#REF!</v>
      </c>
      <c r="P231" s="285" t="e">
        <f t="shared" si="269"/>
        <v>#REF!</v>
      </c>
      <c r="Q231" s="287"/>
      <c r="R231" s="285" t="e">
        <f>SUM(R228:R230)</f>
        <v>#REF!</v>
      </c>
      <c r="S231" s="287"/>
      <c r="T231" s="287"/>
      <c r="U231" s="286" t="e">
        <f>SUM(T228:T229)</f>
        <v>#REF!</v>
      </c>
      <c r="V231" s="286"/>
      <c r="W231" s="242"/>
      <c r="X231" s="242"/>
      <c r="Y231" s="242"/>
      <c r="Z231" s="230"/>
      <c r="AA231" s="242"/>
      <c r="AB231" s="242"/>
      <c r="AC231" s="242"/>
      <c r="AD231" s="242"/>
      <c r="AE231" s="242"/>
      <c r="AF231" s="242"/>
      <c r="AG231" s="242"/>
      <c r="AH231" s="242"/>
      <c r="AI231" s="242"/>
      <c r="AJ231" s="242"/>
      <c r="AK231" s="244"/>
      <c r="AL231" s="178"/>
      <c r="AM231" s="178"/>
      <c r="AN231" s="178"/>
    </row>
    <row r="232" spans="1:40" s="175" customFormat="1" ht="14.25">
      <c r="A232" s="242"/>
      <c r="B232" s="273"/>
      <c r="C232" s="273"/>
      <c r="D232" s="273"/>
      <c r="E232" s="242"/>
      <c r="F232" s="242"/>
      <c r="G232" s="242"/>
      <c r="H232" s="242"/>
      <c r="I232" s="242"/>
      <c r="J232" s="242"/>
      <c r="K232" s="242"/>
      <c r="L232" s="242"/>
      <c r="M232" s="242"/>
      <c r="N232" s="242"/>
      <c r="O232" s="242"/>
      <c r="P232" s="242"/>
      <c r="Q232" s="242"/>
      <c r="R232" s="242"/>
      <c r="S232" s="242"/>
      <c r="T232" s="242"/>
      <c r="U232" s="242"/>
      <c r="V232" s="242"/>
      <c r="W232" s="242"/>
      <c r="X232" s="242"/>
      <c r="Y232" s="242"/>
      <c r="Z232" s="230"/>
      <c r="AA232" s="242"/>
      <c r="AB232" s="242"/>
      <c r="AC232" s="242"/>
      <c r="AD232" s="242"/>
      <c r="AE232" s="242"/>
      <c r="AF232" s="242"/>
      <c r="AG232" s="242"/>
      <c r="AH232" s="242"/>
      <c r="AI232" s="242"/>
      <c r="AJ232" s="242"/>
      <c r="AK232" s="244"/>
      <c r="AL232" s="178"/>
      <c r="AM232" s="178"/>
      <c r="AN232" s="178"/>
    </row>
    <row r="233" spans="1:40" s="175" customFormat="1" ht="14.25">
      <c r="A233" s="242"/>
      <c r="B233" s="273"/>
      <c r="C233" s="273"/>
      <c r="D233" s="273"/>
      <c r="E233" s="276" t="e">
        <f>E19+E11+E10+E27+E57+E70+E40+E41+E33+E64+#REF!</f>
        <v>#REF!</v>
      </c>
      <c r="F233" s="276" t="e">
        <f>F19+F11+F10+F27+F57+F70+F40+F41+F33+F64+#REF!</f>
        <v>#REF!</v>
      </c>
      <c r="G233" s="276" t="e">
        <f>G19+G11+G10+G27+G57+G70+G40+G41+G33+G64+#REF!</f>
        <v>#REF!</v>
      </c>
      <c r="H233" s="276" t="e">
        <f>H19+H11+H10+H27+H57+H70+H40+H41+H33+H64+#REF!</f>
        <v>#VALUE!</v>
      </c>
      <c r="I233" s="276" t="e">
        <f>I19+I11+I10+I27+I57+I70+I40+I41+I33+I64+#REF!</f>
        <v>#REF!</v>
      </c>
      <c r="J233" s="276" t="e">
        <f>J19+J11+J10+J27+J57+J70+J40+J41+J33+J64+#REF!</f>
        <v>#REF!</v>
      </c>
      <c r="K233" s="276" t="e">
        <f>K19+K11+K10+K27+K57+K70+K40+K41+K33+K64+#REF!</f>
        <v>#REF!</v>
      </c>
      <c r="L233" s="276" t="e">
        <f>L19+L11+L10+L27+L57+L70+L40+L41+L33+L64+#REF!</f>
        <v>#REF!</v>
      </c>
      <c r="M233" s="276" t="e">
        <f>M19+M11+M10+M27+M57+M70+M40+M41+M33+M64+#REF!</f>
        <v>#REF!</v>
      </c>
      <c r="N233" s="276"/>
      <c r="O233" s="276"/>
      <c r="P233" s="276"/>
      <c r="Q233" s="276"/>
      <c r="R233" s="276"/>
      <c r="S233" s="276"/>
      <c r="T233" s="276"/>
      <c r="U233" s="276"/>
      <c r="V233" s="276"/>
      <c r="W233" s="276" t="e">
        <f>W19+W11+W10+W27+W57+W70+W40+W41+W33+W64+#REF!</f>
        <v>#REF!</v>
      </c>
      <c r="X233" s="276"/>
      <c r="Y233" s="276" t="e">
        <f>Y19+Y11+Y10+Y27+Y57+Y70+Y40+Y41+Y33+Y64+#REF!</f>
        <v>#REF!</v>
      </c>
      <c r="Z233" s="230"/>
      <c r="AA233" s="242"/>
      <c r="AB233" s="242"/>
      <c r="AC233" s="242"/>
      <c r="AD233" s="242"/>
      <c r="AE233" s="242"/>
      <c r="AF233" s="242"/>
      <c r="AG233" s="242"/>
      <c r="AH233" s="242"/>
      <c r="AI233" s="242">
        <f>AI175*3</f>
        <v>152.73000000000025</v>
      </c>
      <c r="AJ233" s="242"/>
      <c r="AK233" s="244"/>
      <c r="AL233" s="178"/>
      <c r="AM233" s="178"/>
      <c r="AN233" s="178"/>
    </row>
    <row r="234" spans="1:40" s="175" customFormat="1" ht="14.25">
      <c r="A234" s="242"/>
      <c r="B234" s="273"/>
      <c r="C234" s="273"/>
      <c r="D234" s="273"/>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30"/>
      <c r="AA234" s="242"/>
      <c r="AB234" s="242"/>
      <c r="AC234" s="242"/>
      <c r="AD234" s="242"/>
      <c r="AE234" s="242"/>
      <c r="AF234" s="242"/>
      <c r="AG234" s="242"/>
      <c r="AH234" s="242"/>
      <c r="AI234" s="242"/>
      <c r="AJ234" s="242"/>
      <c r="AK234" s="244"/>
      <c r="AL234" s="178"/>
      <c r="AM234" s="178"/>
      <c r="AN234" s="178"/>
    </row>
    <row r="235" spans="1:37" s="178" customFormat="1" ht="13.5">
      <c r="A235" s="183"/>
      <c r="B235" s="184"/>
      <c r="C235" s="184"/>
      <c r="D235" s="184"/>
      <c r="E235" s="183" t="e">
        <f aca="true" t="shared" si="270" ref="E235:M235">E233*3</f>
        <v>#REF!</v>
      </c>
      <c r="F235" s="183" t="e">
        <f t="shared" si="270"/>
        <v>#REF!</v>
      </c>
      <c r="G235" s="183" t="e">
        <f t="shared" si="270"/>
        <v>#REF!</v>
      </c>
      <c r="H235" s="183" t="e">
        <f t="shared" si="270"/>
        <v>#VALUE!</v>
      </c>
      <c r="I235" s="183" t="e">
        <f t="shared" si="270"/>
        <v>#REF!</v>
      </c>
      <c r="J235" s="183" t="e">
        <f t="shared" si="270"/>
        <v>#REF!</v>
      </c>
      <c r="K235" s="183" t="e">
        <f t="shared" si="270"/>
        <v>#REF!</v>
      </c>
      <c r="L235" s="183" t="e">
        <f t="shared" si="270"/>
        <v>#REF!</v>
      </c>
      <c r="M235" s="183" t="e">
        <f t="shared" si="270"/>
        <v>#REF!</v>
      </c>
      <c r="N235" s="183"/>
      <c r="O235" s="183"/>
      <c r="P235" s="183"/>
      <c r="Q235" s="183"/>
      <c r="R235" s="183"/>
      <c r="S235" s="183"/>
      <c r="T235" s="183"/>
      <c r="U235" s="183"/>
      <c r="V235" s="183"/>
      <c r="W235" s="183" t="e">
        <f>W233*3</f>
        <v>#REF!</v>
      </c>
      <c r="X235" s="183"/>
      <c r="Y235" s="183"/>
      <c r="Z235" s="295"/>
      <c r="AA235" s="183"/>
      <c r="AB235" s="183"/>
      <c r="AC235" s="183"/>
      <c r="AD235" s="183"/>
      <c r="AE235" s="183"/>
      <c r="AF235" s="183"/>
      <c r="AG235" s="183"/>
      <c r="AH235" s="183"/>
      <c r="AI235" s="183"/>
      <c r="AJ235" s="183"/>
      <c r="AK235" s="239"/>
    </row>
    <row r="236" spans="1:37" s="178" customFormat="1" ht="14.25">
      <c r="A236" s="242"/>
      <c r="B236" s="273"/>
      <c r="C236" s="273"/>
      <c r="D236" s="273"/>
      <c r="E236" s="242"/>
      <c r="F236" s="242"/>
      <c r="G236" s="242"/>
      <c r="H236" s="242"/>
      <c r="I236" s="242"/>
      <c r="J236" s="242"/>
      <c r="K236" s="242"/>
      <c r="L236" s="242"/>
      <c r="M236" s="242"/>
      <c r="N236" s="242"/>
      <c r="O236" s="242"/>
      <c r="P236" s="242"/>
      <c r="Q236" s="242"/>
      <c r="R236" s="242"/>
      <c r="S236" s="242"/>
      <c r="T236" s="242"/>
      <c r="U236" s="242"/>
      <c r="V236" s="242"/>
      <c r="W236" s="242"/>
      <c r="X236" s="242"/>
      <c r="Y236" s="242"/>
      <c r="Z236" s="230"/>
      <c r="AA236" s="242"/>
      <c r="AB236" s="242"/>
      <c r="AC236" s="242"/>
      <c r="AD236" s="242"/>
      <c r="AE236" s="242"/>
      <c r="AF236" s="242"/>
      <c r="AG236" s="242"/>
      <c r="AH236" s="242"/>
      <c r="AI236" s="242"/>
      <c r="AJ236" s="242"/>
      <c r="AK236" s="244"/>
    </row>
    <row r="237" spans="1:37" s="178" customFormat="1" ht="13.5">
      <c r="A237" s="183"/>
      <c r="B237" s="184"/>
      <c r="C237" s="184"/>
      <c r="D237" s="184"/>
      <c r="E237" s="183" t="s">
        <v>266</v>
      </c>
      <c r="F237" s="183"/>
      <c r="G237" s="183" t="s">
        <v>267</v>
      </c>
      <c r="H237" s="183" t="s">
        <v>266</v>
      </c>
      <c r="I237" s="183" t="s">
        <v>267</v>
      </c>
      <c r="K237" s="183"/>
      <c r="L237" s="183"/>
      <c r="M237" s="183"/>
      <c r="N237" s="183"/>
      <c r="O237" s="183"/>
      <c r="P237" s="183"/>
      <c r="Q237" s="183"/>
      <c r="R237" s="183"/>
      <c r="S237" s="183"/>
      <c r="T237" s="183"/>
      <c r="U237" s="183"/>
      <c r="V237" s="183"/>
      <c r="W237" s="183">
        <f>W10+W11+W19+W20+W27+W28+W33+W40+W41+W42+W57+W64+W70+W71</f>
        <v>20700</v>
      </c>
      <c r="X237" s="183"/>
      <c r="Y237" s="183"/>
      <c r="Z237" s="295"/>
      <c r="AA237" s="183"/>
      <c r="AB237" s="183"/>
      <c r="AC237" s="183"/>
      <c r="AD237" s="183"/>
      <c r="AE237" s="183"/>
      <c r="AF237" s="183"/>
      <c r="AG237" s="183"/>
      <c r="AH237" s="183"/>
      <c r="AI237" s="183"/>
      <c r="AJ237" s="183"/>
      <c r="AK237" s="239"/>
    </row>
    <row r="238" spans="1:37" s="178" customFormat="1" ht="13.5">
      <c r="A238" s="277">
        <f>C238/A73</f>
        <v>0.07142857142857142</v>
      </c>
      <c r="B238" s="184"/>
      <c r="C238" s="184">
        <v>4</v>
      </c>
      <c r="D238" s="184" t="s">
        <v>268</v>
      </c>
      <c r="E238" s="183">
        <f>E9*3</f>
        <v>133194</v>
      </c>
      <c r="F238" s="183"/>
      <c r="G238" s="183"/>
      <c r="H238" s="183">
        <f>SUM(G5:L8)*3</f>
        <v>3828</v>
      </c>
      <c r="I238" s="183"/>
      <c r="J238" s="183">
        <f>(G10+J10+J11+G11+G19+G20+J19+J20+G27+G28+H27+H28+J27+J28+G33+H33+J33+G40+G41+G42+J40+J41+J42+G57+H57+J57+G64+J64+G70+G71+I70+J70+J71)*3</f>
        <v>23178</v>
      </c>
      <c r="K238" s="183"/>
      <c r="L238" s="183"/>
      <c r="M238" s="183"/>
      <c r="N238" s="183"/>
      <c r="O238" s="183"/>
      <c r="P238" s="183"/>
      <c r="Q238" s="183"/>
      <c r="R238" s="183"/>
      <c r="S238" s="183"/>
      <c r="T238" s="183"/>
      <c r="U238" s="183"/>
      <c r="V238" s="183"/>
      <c r="W238" s="292">
        <f>W237*3</f>
        <v>62100</v>
      </c>
      <c r="X238" s="183"/>
      <c r="Y238" s="292"/>
      <c r="Z238" s="183"/>
      <c r="AA238" s="183"/>
      <c r="AB238" s="183"/>
      <c r="AC238" s="183"/>
      <c r="AD238" s="183"/>
      <c r="AE238" s="183"/>
      <c r="AF238" s="183"/>
      <c r="AG238" s="183"/>
      <c r="AH238" s="183"/>
      <c r="AI238" s="183"/>
      <c r="AJ238" s="183"/>
      <c r="AK238" s="239"/>
    </row>
    <row r="239" spans="1:37" s="178" customFormat="1" ht="13.5">
      <c r="A239" s="277">
        <f>C239/A73</f>
        <v>0.30357142857142855</v>
      </c>
      <c r="B239" s="184"/>
      <c r="C239" s="184">
        <f>14+3</f>
        <v>17</v>
      </c>
      <c r="D239" s="184" t="s">
        <v>42</v>
      </c>
      <c r="E239" s="183">
        <f>(E10+E11+E19+E20+E27+E28+E33+E40+E41+E42+E57+E64+E70+E71)*3</f>
        <v>216300</v>
      </c>
      <c r="F239" s="183"/>
      <c r="G239" s="183">
        <f>(E10+E11+E19+E20+E27+E28+E33+E38+E40+E41+E42+E57+E62+E64+E68+E70+E71)*3</f>
        <v>257700</v>
      </c>
      <c r="H239" s="183">
        <f>(SUM(G10:J11)+SUM(G19:J20)+SUM(G27:J28)+SUM(G33:J33)+SUM(G40:J42)+SUM(G57:J57)+SUM(G64:J64)+SUM(G70:J71))*3</f>
        <v>30378</v>
      </c>
      <c r="I239" s="183"/>
      <c r="J239" s="183"/>
      <c r="K239" s="183"/>
      <c r="L239" s="183"/>
      <c r="M239" s="183"/>
      <c r="N239" s="183"/>
      <c r="O239" s="183"/>
      <c r="P239" s="183"/>
      <c r="Q239" s="183"/>
      <c r="R239" s="183"/>
      <c r="S239" s="183"/>
      <c r="T239" s="183"/>
      <c r="U239" s="183"/>
      <c r="V239" s="183"/>
      <c r="W239" s="183"/>
      <c r="X239" s="183"/>
      <c r="Y239" s="296"/>
      <c r="Z239" s="183"/>
      <c r="AA239" s="183"/>
      <c r="AB239" s="183"/>
      <c r="AC239" s="183"/>
      <c r="AD239" s="183"/>
      <c r="AE239" s="183"/>
      <c r="AF239" s="183"/>
      <c r="AG239" s="183"/>
      <c r="AH239" s="183"/>
      <c r="AI239" s="183"/>
      <c r="AJ239" s="183"/>
      <c r="AK239" s="239"/>
    </row>
    <row r="240" spans="1:37" s="178" customFormat="1" ht="13.5">
      <c r="A240" s="277">
        <f>C240/A73</f>
        <v>0.625</v>
      </c>
      <c r="B240" s="184"/>
      <c r="C240" s="184">
        <f>A73-C239-C238</f>
        <v>35</v>
      </c>
      <c r="D240" s="184" t="s">
        <v>58</v>
      </c>
      <c r="E240" s="278">
        <f>(SUM(E12:E16)+SUM(E21:E24)+SUM(E29:E31)+SUM(E34:E37)+SUM(E43:E53)+SUM(E58:E61)+SUM(E65:E67)+SUM(E72:E74))*3</f>
        <v>353400</v>
      </c>
      <c r="F240" s="278"/>
      <c r="G240" s="278">
        <f>E76*3-E238-G239</f>
        <v>391800</v>
      </c>
      <c r="H240" s="278">
        <f>(SUM(G12:J16)+SUM(G21:J24)+SUM(G29:J31)+SUM(G34:J37)+SUM(G43:J53)+SUM(G58:J61)+SUM(G65:J67)+SUM(G72:J74))*3</f>
        <v>52569</v>
      </c>
      <c r="I240" s="278"/>
      <c r="J240" s="278"/>
      <c r="K240" s="278"/>
      <c r="L240" s="278"/>
      <c r="M240" s="278"/>
      <c r="N240" s="278"/>
      <c r="O240" s="278"/>
      <c r="P240" s="278"/>
      <c r="Q240" s="278"/>
      <c r="R240" s="278"/>
      <c r="S240" s="278"/>
      <c r="T240" s="278"/>
      <c r="U240" s="278"/>
      <c r="V240" s="278"/>
      <c r="W240" s="278"/>
      <c r="X240" s="278"/>
      <c r="Y240" s="278"/>
      <c r="Z240" s="278"/>
      <c r="AA240" s="183"/>
      <c r="AB240" s="183"/>
      <c r="AC240" s="183"/>
      <c r="AD240" s="183"/>
      <c r="AE240" s="183"/>
      <c r="AF240" s="183"/>
      <c r="AG240" s="183"/>
      <c r="AH240" s="183"/>
      <c r="AI240" s="183"/>
      <c r="AJ240" s="183"/>
      <c r="AK240" s="239"/>
    </row>
    <row r="241" spans="1:37" s="178" customFormat="1" ht="13.5">
      <c r="A241" s="183"/>
      <c r="B241" s="184"/>
      <c r="C241" s="184"/>
      <c r="D241" s="184"/>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295"/>
      <c r="AA241" s="183"/>
      <c r="AB241" s="183"/>
      <c r="AC241" s="183"/>
      <c r="AD241" s="183"/>
      <c r="AE241" s="183"/>
      <c r="AF241" s="183"/>
      <c r="AG241" s="183"/>
      <c r="AH241" s="183"/>
      <c r="AI241" s="183"/>
      <c r="AJ241" s="183"/>
      <c r="AK241" s="239"/>
    </row>
    <row r="242" spans="1:37" s="178" customFormat="1" ht="13.5">
      <c r="A242" s="183" t="s">
        <v>269</v>
      </c>
      <c r="B242" s="184"/>
      <c r="C242" s="184"/>
      <c r="D242" s="184"/>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295"/>
      <c r="AA242" s="183"/>
      <c r="AB242" s="183"/>
      <c r="AC242" s="183"/>
      <c r="AD242" s="183"/>
      <c r="AE242" s="183"/>
      <c r="AF242" s="183"/>
      <c r="AG242" s="183"/>
      <c r="AH242" s="183"/>
      <c r="AI242" s="183"/>
      <c r="AJ242" s="183"/>
      <c r="AK242" s="239"/>
    </row>
    <row r="243" spans="1:37" s="178" customFormat="1" ht="13.5">
      <c r="A243" s="183"/>
      <c r="B243" s="184"/>
      <c r="C243" s="184"/>
      <c r="D243" s="184"/>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295"/>
      <c r="AA243" s="183"/>
      <c r="AB243" s="183"/>
      <c r="AC243" s="183"/>
      <c r="AD243" s="183"/>
      <c r="AE243" s="183"/>
      <c r="AF243" s="183"/>
      <c r="AG243" s="183"/>
      <c r="AH243" s="183"/>
      <c r="AI243" s="183"/>
      <c r="AJ243" s="183"/>
      <c r="AK243" s="239"/>
    </row>
    <row r="244" spans="1:37" s="178" customFormat="1" ht="13.5">
      <c r="A244" s="183"/>
      <c r="B244" s="184"/>
      <c r="C244" s="184"/>
      <c r="D244" s="184"/>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295"/>
      <c r="AA244" s="183"/>
      <c r="AB244" s="183"/>
      <c r="AC244" s="183"/>
      <c r="AD244" s="183"/>
      <c r="AE244" s="183"/>
      <c r="AF244" s="183"/>
      <c r="AG244" s="183"/>
      <c r="AH244" s="183"/>
      <c r="AI244" s="183"/>
      <c r="AJ244" s="183"/>
      <c r="AK244" s="239"/>
    </row>
    <row r="245" spans="7:37" s="178" customFormat="1" ht="13.5">
      <c r="G245" s="279">
        <f aca="true" t="shared" si="271" ref="G245:L245">SUBTOTAL(9,G10:G74)</f>
        <v>14500</v>
      </c>
      <c r="H245" s="279">
        <f t="shared" si="271"/>
        <v>5900</v>
      </c>
      <c r="I245" s="279">
        <f t="shared" si="271"/>
        <v>12800</v>
      </c>
      <c r="J245" s="279">
        <f t="shared" si="271"/>
        <v>26928</v>
      </c>
      <c r="K245" s="178">
        <f t="shared" si="271"/>
        <v>0</v>
      </c>
      <c r="L245" s="279">
        <f t="shared" si="271"/>
        <v>30600</v>
      </c>
      <c r="O245" s="178">
        <f aca="true" t="shared" si="272" ref="O245:R245">SUBTOTAL(9,O10:O71)</f>
        <v>89698.42000000001</v>
      </c>
      <c r="P245" s="178">
        <f t="shared" si="272"/>
        <v>47652.52</v>
      </c>
      <c r="Q245" s="178">
        <f t="shared" si="272"/>
        <v>2803.36</v>
      </c>
      <c r="R245" s="178">
        <f t="shared" si="272"/>
        <v>1569.7299999999998</v>
      </c>
      <c r="U245" s="178">
        <f>SUBTOTAL(9,U5:U74)</f>
        <v>267678.6431999999</v>
      </c>
      <c r="V245" s="178">
        <f>SUBTOTAL(9,V5:V74)</f>
        <v>200758.98240000007</v>
      </c>
      <c r="AK245" s="181"/>
    </row>
    <row r="246" spans="10:37" s="178" customFormat="1" ht="13.5">
      <c r="J246" s="178">
        <f>SUBTOTAL(9,G5:J8)</f>
        <v>1276</v>
      </c>
      <c r="L246" s="178">
        <f>J246*3</f>
        <v>3828</v>
      </c>
      <c r="M246" s="178">
        <f>L246*4</f>
        <v>15312</v>
      </c>
      <c r="W246" s="178">
        <f>(SUBTOTAL(9,W12:W74)-W17-W25-W54-W55)*12</f>
        <v>1500000</v>
      </c>
      <c r="Y246" s="178">
        <f>SUBTOTAL(9,Y12:Y74)</f>
        <v>2639000</v>
      </c>
      <c r="Z246" s="178">
        <v>808125</v>
      </c>
      <c r="AJ246" s="178">
        <f>Y246-Z246</f>
        <v>1830875</v>
      </c>
      <c r="AK246" s="181"/>
    </row>
    <row r="247" spans="7:37" s="178" customFormat="1" ht="13.5">
      <c r="G247" s="178">
        <f>SUBTOTAL(9,G10:L74)*3</f>
        <v>272184</v>
      </c>
      <c r="H247" s="178">
        <f>G245+H245+I245+J245</f>
        <v>60128</v>
      </c>
      <c r="J247" s="178">
        <f>264*14</f>
        <v>3696</v>
      </c>
      <c r="O247" s="178">
        <f>SUBTOTAL(9,O10:R71)</f>
        <v>141724.0300000001</v>
      </c>
      <c r="W247" s="178">
        <f>(W25+W54+W55)*9</f>
        <v>32400</v>
      </c>
      <c r="Y247" s="178">
        <f>836250-Y246</f>
        <v>-1802750</v>
      </c>
      <c r="AK247" s="181"/>
    </row>
    <row r="248" spans="8:37" s="178" customFormat="1" ht="13.5">
      <c r="H248" s="178">
        <f>H247*3</f>
        <v>180384</v>
      </c>
      <c r="W248" s="178">
        <f>W247+W246</f>
        <v>1532400</v>
      </c>
      <c r="AK248" s="181"/>
    </row>
    <row r="249" spans="10:37" s="178" customFormat="1" ht="13.5">
      <c r="J249" s="178">
        <f>SUBTOTAL(9,G10:J74)*3+L245-(G13+H13+J13)*3-L13</f>
        <v>208197</v>
      </c>
      <c r="AK249" s="181"/>
    </row>
    <row r="250" s="178" customFormat="1" ht="13.5">
      <c r="AK250" s="181"/>
    </row>
    <row r="251" s="178" customFormat="1" ht="13.5">
      <c r="AK251" s="181"/>
    </row>
    <row r="252" spans="37:40" s="178" customFormat="1" ht="13.5" customHeight="1">
      <c r="AK252" s="181"/>
      <c r="AN252" s="297"/>
    </row>
    <row r="253" spans="23:37" s="178" customFormat="1" ht="13.5">
      <c r="W253" s="178">
        <f>SUMIF(U256:U267,"&gt;=&amp;中层",X256:Z267)</f>
        <v>2400</v>
      </c>
      <c r="Y253" s="178">
        <f>SUMPRODUCT(SUMIF(U256:Z267,AK10,V256:Z267))</f>
        <v>2400</v>
      </c>
      <c r="AK253" s="181"/>
    </row>
    <row r="254" spans="22:37" s="178" customFormat="1" ht="13.5">
      <c r="V254" s="178">
        <f>SUMIF(U256:U267,Y256,V256:V267)</f>
        <v>400</v>
      </c>
      <c r="X254" s="178">
        <f>SUMIF(W256:W267,U256,X256:X267)</f>
        <v>800</v>
      </c>
      <c r="Z254" s="178">
        <f>SUMIF(Y256:Y267,W256,Z256:Z267)</f>
        <v>1200</v>
      </c>
      <c r="AK254" s="181"/>
    </row>
    <row r="255" s="178" customFormat="1" ht="13.5">
      <c r="AK255" s="181"/>
    </row>
    <row r="256" spans="21:39" s="178" customFormat="1" ht="13.5">
      <c r="U256" s="178" t="s">
        <v>42</v>
      </c>
      <c r="V256" s="178">
        <v>100</v>
      </c>
      <c r="W256" s="178" t="s">
        <v>42</v>
      </c>
      <c r="X256" s="178">
        <v>200</v>
      </c>
      <c r="Y256" s="178" t="s">
        <v>42</v>
      </c>
      <c r="Z256" s="178">
        <v>300</v>
      </c>
      <c r="AM256" s="181"/>
    </row>
    <row r="257" spans="21:39" s="178" customFormat="1" ht="13.5">
      <c r="U257" s="178" t="s">
        <v>41</v>
      </c>
      <c r="V257" s="178">
        <v>100</v>
      </c>
      <c r="W257" s="178" t="s">
        <v>41</v>
      </c>
      <c r="X257" s="178">
        <v>200</v>
      </c>
      <c r="Y257" s="178" t="s">
        <v>41</v>
      </c>
      <c r="Z257" s="178">
        <v>300</v>
      </c>
      <c r="AM257" s="181"/>
    </row>
    <row r="258" spans="21:39" s="178" customFormat="1" ht="13.5">
      <c r="U258" s="178" t="s">
        <v>270</v>
      </c>
      <c r="V258" s="178">
        <v>100</v>
      </c>
      <c r="W258" s="178" t="s">
        <v>270</v>
      </c>
      <c r="X258" s="178">
        <v>200</v>
      </c>
      <c r="Y258" s="178" t="s">
        <v>270</v>
      </c>
      <c r="Z258" s="178">
        <v>300</v>
      </c>
      <c r="AM258" s="181"/>
    </row>
    <row r="259" spans="21:39" s="178" customFormat="1" ht="13.5">
      <c r="U259" s="178" t="s">
        <v>42</v>
      </c>
      <c r="V259" s="178">
        <v>100</v>
      </c>
      <c r="W259" s="178" t="s">
        <v>42</v>
      </c>
      <c r="X259" s="178">
        <v>200</v>
      </c>
      <c r="Y259" s="178" t="s">
        <v>42</v>
      </c>
      <c r="Z259" s="178">
        <v>300</v>
      </c>
      <c r="AM259" s="181"/>
    </row>
    <row r="260" spans="21:39" s="178" customFormat="1" ht="13.5">
      <c r="U260" s="178" t="s">
        <v>41</v>
      </c>
      <c r="V260" s="178">
        <v>100</v>
      </c>
      <c r="W260" s="178" t="s">
        <v>41</v>
      </c>
      <c r="X260" s="178">
        <v>200</v>
      </c>
      <c r="Y260" s="178" t="s">
        <v>41</v>
      </c>
      <c r="Z260" s="178">
        <v>300</v>
      </c>
      <c r="AM260" s="181"/>
    </row>
    <row r="261" spans="21:39" s="178" customFormat="1" ht="13.5">
      <c r="U261" s="178" t="s">
        <v>270</v>
      </c>
      <c r="V261" s="178">
        <v>100</v>
      </c>
      <c r="W261" s="178" t="s">
        <v>270</v>
      </c>
      <c r="X261" s="178">
        <v>200</v>
      </c>
      <c r="Y261" s="178" t="s">
        <v>270</v>
      </c>
      <c r="Z261" s="178">
        <v>300</v>
      </c>
      <c r="AM261" s="181"/>
    </row>
    <row r="262" spans="21:39" s="178" customFormat="1" ht="13.5">
      <c r="U262" s="178" t="s">
        <v>42</v>
      </c>
      <c r="V262" s="178">
        <v>100</v>
      </c>
      <c r="W262" s="178" t="s">
        <v>42</v>
      </c>
      <c r="X262" s="178">
        <v>200</v>
      </c>
      <c r="Y262" s="178" t="s">
        <v>42</v>
      </c>
      <c r="Z262" s="178">
        <v>300</v>
      </c>
      <c r="AM262" s="181"/>
    </row>
    <row r="263" spans="21:39" s="178" customFormat="1" ht="13.5">
      <c r="U263" s="178" t="s">
        <v>41</v>
      </c>
      <c r="V263" s="178">
        <v>100</v>
      </c>
      <c r="W263" s="178" t="s">
        <v>41</v>
      </c>
      <c r="X263" s="178">
        <v>200</v>
      </c>
      <c r="Y263" s="178" t="s">
        <v>41</v>
      </c>
      <c r="Z263" s="178">
        <v>300</v>
      </c>
      <c r="AM263" s="181"/>
    </row>
    <row r="264" spans="21:39" s="178" customFormat="1" ht="13.5">
      <c r="U264" s="178" t="s">
        <v>270</v>
      </c>
      <c r="V264" s="178">
        <v>100</v>
      </c>
      <c r="W264" s="178" t="s">
        <v>270</v>
      </c>
      <c r="X264" s="178">
        <v>200</v>
      </c>
      <c r="Y264" s="178" t="s">
        <v>270</v>
      </c>
      <c r="Z264" s="178">
        <v>300</v>
      </c>
      <c r="AM264" s="181"/>
    </row>
    <row r="265" spans="21:39" s="178" customFormat="1" ht="13.5">
      <c r="U265" s="178" t="s">
        <v>42</v>
      </c>
      <c r="V265" s="178">
        <v>100</v>
      </c>
      <c r="W265" s="178" t="s">
        <v>42</v>
      </c>
      <c r="X265" s="178">
        <v>200</v>
      </c>
      <c r="Y265" s="178" t="s">
        <v>42</v>
      </c>
      <c r="Z265" s="178">
        <v>300</v>
      </c>
      <c r="AM265" s="181"/>
    </row>
    <row r="266" spans="21:39" s="178" customFormat="1" ht="13.5">
      <c r="U266" s="178" t="s">
        <v>41</v>
      </c>
      <c r="V266" s="178">
        <v>100</v>
      </c>
      <c r="W266" s="178" t="s">
        <v>41</v>
      </c>
      <c r="X266" s="178">
        <v>200</v>
      </c>
      <c r="Y266" s="178" t="s">
        <v>41</v>
      </c>
      <c r="Z266" s="178">
        <v>300</v>
      </c>
      <c r="AM266" s="181"/>
    </row>
    <row r="267" spans="21:39" s="178" customFormat="1" ht="13.5">
      <c r="U267" s="178" t="s">
        <v>270</v>
      </c>
      <c r="V267" s="178">
        <v>100</v>
      </c>
      <c r="W267" s="178" t="s">
        <v>270</v>
      </c>
      <c r="X267" s="178">
        <v>200</v>
      </c>
      <c r="Y267" s="178" t="s">
        <v>270</v>
      </c>
      <c r="Z267" s="178">
        <v>300</v>
      </c>
      <c r="AM267" s="181"/>
    </row>
    <row r="268" s="178" customFormat="1" ht="13.5">
      <c r="AK268" s="181"/>
    </row>
    <row r="269" spans="23:37" s="178" customFormat="1" ht="13.5">
      <c r="W269" s="178">
        <f>V256+X256+Z256+Z259+X259+V259+V262+X262+Z262+Z265+X265+V265</f>
        <v>2400</v>
      </c>
      <c r="AK269" s="181"/>
    </row>
  </sheetData>
  <sheetProtection/>
  <mergeCells count="32">
    <mergeCell ref="A1:Z1"/>
    <mergeCell ref="G3:H3"/>
    <mergeCell ref="O3:T3"/>
    <mergeCell ref="A9:D9"/>
    <mergeCell ref="A18:D18"/>
    <mergeCell ref="A26:D26"/>
    <mergeCell ref="A32:D32"/>
    <mergeCell ref="A39:D39"/>
    <mergeCell ref="A56:D56"/>
    <mergeCell ref="A63:D63"/>
    <mergeCell ref="A69:D69"/>
    <mergeCell ref="A75:D75"/>
    <mergeCell ref="A76:D76"/>
    <mergeCell ref="C85:D85"/>
    <mergeCell ref="C174:D174"/>
    <mergeCell ref="C178:D178"/>
    <mergeCell ref="A179:D179"/>
    <mergeCell ref="E181:G181"/>
    <mergeCell ref="A3:A4"/>
    <mergeCell ref="C3:C4"/>
    <mergeCell ref="D3:D4"/>
    <mergeCell ref="E3:E4"/>
    <mergeCell ref="F3:F4"/>
    <mergeCell ref="M3:M4"/>
    <mergeCell ref="N3:N4"/>
    <mergeCell ref="U3:U4"/>
    <mergeCell ref="V3:V4"/>
    <mergeCell ref="W3:W4"/>
    <mergeCell ref="X3:X4"/>
    <mergeCell ref="Y3:Y4"/>
    <mergeCell ref="Z3:Z4"/>
    <mergeCell ref="AK3:AK4"/>
  </mergeCells>
  <printOptions/>
  <pageMargins left="0.47" right="0.2" top="0.28" bottom="0.35" header="0.16" footer="0.16"/>
  <pageSetup horizontalDpi="600" verticalDpi="600" orientation="landscape" paperSize="9" scale="80"/>
  <headerFooter alignWithMargins="0">
    <oddFooter>&amp;C第 &amp;P 页，共 &amp;N 页</oddFooter>
  </headerFooter>
  <legacyDrawing r:id="rId2"/>
</worksheet>
</file>

<file path=xl/worksheets/sheet10.xml><?xml version="1.0" encoding="utf-8"?>
<worksheet xmlns="http://schemas.openxmlformats.org/spreadsheetml/2006/main" xmlns:r="http://schemas.openxmlformats.org/officeDocument/2006/relationships">
  <sheetPr>
    <tabColor rgb="FFFFFF00"/>
  </sheetPr>
  <dimension ref="A1:L30"/>
  <sheetViews>
    <sheetView workbookViewId="0" topLeftCell="A1">
      <selection activeCell="F3" sqref="F3:F4"/>
    </sheetView>
  </sheetViews>
  <sheetFormatPr defaultColWidth="9.140625" defaultRowHeight="12.75"/>
  <cols>
    <col min="1" max="1" width="11.28125" style="0" customWidth="1"/>
    <col min="2" max="2" width="49.7109375" style="0" customWidth="1"/>
    <col min="3" max="3" width="18.28125" style="0" customWidth="1"/>
    <col min="4" max="6" width="16.7109375" style="0" customWidth="1"/>
    <col min="7" max="11" width="16.28125" style="0" customWidth="1"/>
    <col min="12" max="12" width="17.28125" style="0" customWidth="1"/>
  </cols>
  <sheetData>
    <row r="1" spans="1:12" ht="40.5" customHeight="1">
      <c r="A1" s="16"/>
      <c r="B1" s="16" t="s">
        <v>510</v>
      </c>
      <c r="C1" s="16" t="s">
        <v>510</v>
      </c>
      <c r="D1" s="16" t="s">
        <v>510</v>
      </c>
      <c r="E1" s="16" t="s">
        <v>510</v>
      </c>
      <c r="F1" s="16" t="s">
        <v>510</v>
      </c>
      <c r="G1" s="16" t="s">
        <v>510</v>
      </c>
      <c r="H1" s="16" t="s">
        <v>510</v>
      </c>
      <c r="I1" s="16" t="s">
        <v>510</v>
      </c>
      <c r="J1" s="16" t="s">
        <v>510</v>
      </c>
      <c r="K1" s="16" t="s">
        <v>510</v>
      </c>
      <c r="L1" s="16" t="s">
        <v>510</v>
      </c>
    </row>
    <row r="2" spans="1:12" ht="18" customHeight="1">
      <c r="A2" s="4" t="s">
        <v>272</v>
      </c>
      <c r="B2" s="12"/>
      <c r="C2" s="21"/>
      <c r="D2" s="4"/>
      <c r="E2" s="4"/>
      <c r="F2" s="13" t="s">
        <v>273</v>
      </c>
      <c r="G2" s="11"/>
      <c r="H2" s="11"/>
      <c r="I2" s="11"/>
      <c r="J2" s="11"/>
      <c r="K2" s="11" t="s">
        <v>1</v>
      </c>
      <c r="L2" s="4"/>
    </row>
    <row r="3" spans="1:12" ht="18" customHeight="1">
      <c r="A3" s="6" t="s">
        <v>2</v>
      </c>
      <c r="B3" s="6" t="s">
        <v>468</v>
      </c>
      <c r="C3" s="6" t="s">
        <v>469</v>
      </c>
      <c r="D3" s="6" t="s">
        <v>470</v>
      </c>
      <c r="E3" s="6" t="s">
        <v>334</v>
      </c>
      <c r="F3" s="6" t="s">
        <v>335</v>
      </c>
      <c r="G3" s="6" t="s">
        <v>278</v>
      </c>
      <c r="H3" s="6" t="s">
        <v>278</v>
      </c>
      <c r="I3" s="6" t="s">
        <v>278</v>
      </c>
      <c r="J3" s="6" t="s">
        <v>278</v>
      </c>
      <c r="K3" s="6" t="s">
        <v>278</v>
      </c>
      <c r="L3" s="6" t="s">
        <v>36</v>
      </c>
    </row>
    <row r="4" spans="1:12" ht="18" customHeight="1">
      <c r="A4" s="6" t="s">
        <v>2</v>
      </c>
      <c r="B4" s="6" t="s">
        <v>468</v>
      </c>
      <c r="C4" s="6" t="s">
        <v>469</v>
      </c>
      <c r="D4" s="6" t="s">
        <v>470</v>
      </c>
      <c r="E4" s="6" t="s">
        <v>334</v>
      </c>
      <c r="F4" s="6" t="s">
        <v>335</v>
      </c>
      <c r="G4" s="6" t="s">
        <v>296</v>
      </c>
      <c r="H4" s="76" t="s">
        <v>306</v>
      </c>
      <c r="I4" s="76" t="s">
        <v>307</v>
      </c>
      <c r="J4" s="76" t="s">
        <v>308</v>
      </c>
      <c r="K4" s="76" t="s">
        <v>309</v>
      </c>
      <c r="L4" s="4"/>
    </row>
    <row r="5" spans="1:12" ht="18" customHeight="1">
      <c r="A5" s="6" t="s">
        <v>2</v>
      </c>
      <c r="B5" s="13" t="s">
        <v>263</v>
      </c>
      <c r="C5" s="13" t="s">
        <v>473</v>
      </c>
      <c r="D5" s="13" t="s">
        <v>473</v>
      </c>
      <c r="E5" s="8">
        <f aca="true" t="shared" si="0" ref="E5:K5">SUM(E6:E19)</f>
        <v>0</v>
      </c>
      <c r="F5" s="8">
        <f t="shared" si="0"/>
        <v>0</v>
      </c>
      <c r="G5" s="8">
        <f t="shared" si="0"/>
        <v>0</v>
      </c>
      <c r="H5" s="8">
        <f t="shared" si="0"/>
        <v>0</v>
      </c>
      <c r="I5" s="8">
        <f t="shared" si="0"/>
        <v>0</v>
      </c>
      <c r="J5" s="8">
        <f t="shared" si="0"/>
        <v>0</v>
      </c>
      <c r="K5" s="8">
        <f t="shared" si="0"/>
        <v>0</v>
      </c>
      <c r="L5" s="4"/>
    </row>
    <row r="6" spans="1:12" ht="18" customHeight="1">
      <c r="A6" s="6" t="s">
        <v>474</v>
      </c>
      <c r="B6" s="4"/>
      <c r="C6" s="4"/>
      <c r="D6" s="4"/>
      <c r="E6" s="10"/>
      <c r="F6" s="15"/>
      <c r="G6" s="8">
        <f>SUM(H6:K6)</f>
        <v>0</v>
      </c>
      <c r="H6" s="10"/>
      <c r="I6" s="10"/>
      <c r="J6" s="10"/>
      <c r="K6" s="10"/>
      <c r="L6" s="4"/>
    </row>
    <row r="7" spans="1:12" ht="18" customHeight="1">
      <c r="A7" s="6" t="s">
        <v>475</v>
      </c>
      <c r="B7" s="4"/>
      <c r="C7" s="4"/>
      <c r="D7" s="4"/>
      <c r="E7" s="10"/>
      <c r="F7" s="15"/>
      <c r="G7" s="8">
        <f aca="true" t="shared" si="1" ref="G7:G19">SUM(H7:K7)</f>
        <v>0</v>
      </c>
      <c r="H7" s="10"/>
      <c r="I7" s="10"/>
      <c r="J7" s="10"/>
      <c r="K7" s="10"/>
      <c r="L7" s="4"/>
    </row>
    <row r="8" spans="1:12" ht="18" customHeight="1">
      <c r="A8" s="6" t="s">
        <v>476</v>
      </c>
      <c r="B8" s="4"/>
      <c r="C8" s="4"/>
      <c r="D8" s="4"/>
      <c r="E8" s="10"/>
      <c r="F8" s="15"/>
      <c r="G8" s="8">
        <f t="shared" si="1"/>
        <v>0</v>
      </c>
      <c r="H8" s="10"/>
      <c r="I8" s="10"/>
      <c r="J8" s="10"/>
      <c r="K8" s="10"/>
      <c r="L8" s="4"/>
    </row>
    <row r="9" spans="1:12" ht="18" customHeight="1">
      <c r="A9" s="6" t="s">
        <v>477</v>
      </c>
      <c r="B9" s="4"/>
      <c r="C9" s="4"/>
      <c r="D9" s="4"/>
      <c r="E9" s="10"/>
      <c r="F9" s="15"/>
      <c r="G9" s="8">
        <f t="shared" si="1"/>
        <v>0</v>
      </c>
      <c r="H9" s="10"/>
      <c r="I9" s="10"/>
      <c r="J9" s="10"/>
      <c r="K9" s="10"/>
      <c r="L9" s="4"/>
    </row>
    <row r="10" spans="1:12" ht="18" customHeight="1">
      <c r="A10" s="6" t="s">
        <v>478</v>
      </c>
      <c r="B10" s="4"/>
      <c r="C10" s="4"/>
      <c r="D10" s="4"/>
      <c r="E10" s="10"/>
      <c r="F10" s="15"/>
      <c r="G10" s="8">
        <f t="shared" si="1"/>
        <v>0</v>
      </c>
      <c r="H10" s="10"/>
      <c r="I10" s="10"/>
      <c r="J10" s="10"/>
      <c r="K10" s="10"/>
      <c r="L10" s="4"/>
    </row>
    <row r="11" spans="1:12" ht="18" customHeight="1">
      <c r="A11" s="6" t="s">
        <v>479</v>
      </c>
      <c r="B11" s="4"/>
      <c r="C11" s="4"/>
      <c r="D11" s="4"/>
      <c r="E11" s="10"/>
      <c r="F11" s="15"/>
      <c r="G11" s="8">
        <f t="shared" si="1"/>
        <v>0</v>
      </c>
      <c r="H11" s="10"/>
      <c r="I11" s="10"/>
      <c r="J11" s="10"/>
      <c r="K11" s="10"/>
      <c r="L11" s="4"/>
    </row>
    <row r="12" spans="1:12" ht="18" customHeight="1">
      <c r="A12" s="6" t="s">
        <v>480</v>
      </c>
      <c r="B12" s="4"/>
      <c r="C12" s="4"/>
      <c r="D12" s="4"/>
      <c r="E12" s="10"/>
      <c r="F12" s="15"/>
      <c r="G12" s="8">
        <f t="shared" si="1"/>
        <v>0</v>
      </c>
      <c r="H12" s="10"/>
      <c r="I12" s="10"/>
      <c r="J12" s="10"/>
      <c r="K12" s="10"/>
      <c r="L12" s="4"/>
    </row>
    <row r="13" spans="1:12" ht="18" customHeight="1">
      <c r="A13" s="6" t="s">
        <v>481</v>
      </c>
      <c r="B13" s="4"/>
      <c r="C13" s="4"/>
      <c r="D13" s="4"/>
      <c r="E13" s="10"/>
      <c r="F13" s="15"/>
      <c r="G13" s="8">
        <f t="shared" si="1"/>
        <v>0</v>
      </c>
      <c r="H13" s="10"/>
      <c r="I13" s="10"/>
      <c r="J13" s="10"/>
      <c r="K13" s="10"/>
      <c r="L13" s="4"/>
    </row>
    <row r="14" spans="1:12" ht="18" customHeight="1">
      <c r="A14" s="6" t="s">
        <v>482</v>
      </c>
      <c r="B14" s="4"/>
      <c r="C14" s="4"/>
      <c r="D14" s="4"/>
      <c r="E14" s="10"/>
      <c r="F14" s="15"/>
      <c r="G14" s="8">
        <f t="shared" si="1"/>
        <v>0</v>
      </c>
      <c r="H14" s="10"/>
      <c r="I14" s="10"/>
      <c r="J14" s="10"/>
      <c r="K14" s="10"/>
      <c r="L14" s="4"/>
    </row>
    <row r="15" spans="1:12" ht="18" customHeight="1">
      <c r="A15" s="6" t="s">
        <v>483</v>
      </c>
      <c r="B15" s="4"/>
      <c r="C15" s="4"/>
      <c r="D15" s="4"/>
      <c r="E15" s="10"/>
      <c r="F15" s="15"/>
      <c r="G15" s="8">
        <f t="shared" si="1"/>
        <v>0</v>
      </c>
      <c r="H15" s="10"/>
      <c r="I15" s="10"/>
      <c r="J15" s="10"/>
      <c r="K15" s="10"/>
      <c r="L15" s="4"/>
    </row>
    <row r="16" spans="1:12" ht="18" customHeight="1">
      <c r="A16" s="6" t="s">
        <v>484</v>
      </c>
      <c r="B16" s="4"/>
      <c r="C16" s="4"/>
      <c r="D16" s="4"/>
      <c r="E16" s="10"/>
      <c r="F16" s="15"/>
      <c r="G16" s="8">
        <f t="shared" si="1"/>
        <v>0</v>
      </c>
      <c r="H16" s="10"/>
      <c r="I16" s="10"/>
      <c r="J16" s="10"/>
      <c r="K16" s="10"/>
      <c r="L16" s="4"/>
    </row>
    <row r="17" spans="1:12" ht="18" customHeight="1">
      <c r="A17" s="6" t="s">
        <v>485</v>
      </c>
      <c r="B17" s="4"/>
      <c r="C17" s="4"/>
      <c r="D17" s="4"/>
      <c r="E17" s="10"/>
      <c r="F17" s="15"/>
      <c r="G17" s="8">
        <f t="shared" si="1"/>
        <v>0</v>
      </c>
      <c r="H17" s="10"/>
      <c r="I17" s="10"/>
      <c r="J17" s="10"/>
      <c r="K17" s="10"/>
      <c r="L17" s="4"/>
    </row>
    <row r="18" spans="1:12" ht="18" customHeight="1">
      <c r="A18" s="6" t="s">
        <v>486</v>
      </c>
      <c r="B18" s="4"/>
      <c r="C18" s="4"/>
      <c r="D18" s="4"/>
      <c r="E18" s="10"/>
      <c r="F18" s="15"/>
      <c r="G18" s="8">
        <f t="shared" si="1"/>
        <v>0</v>
      </c>
      <c r="H18" s="10"/>
      <c r="I18" s="10"/>
      <c r="J18" s="10"/>
      <c r="K18" s="10"/>
      <c r="L18" s="4"/>
    </row>
    <row r="19" spans="1:12" ht="18" customHeight="1">
      <c r="A19" s="6" t="s">
        <v>487</v>
      </c>
      <c r="B19" s="4"/>
      <c r="C19" s="4"/>
      <c r="D19" s="4"/>
      <c r="E19" s="10"/>
      <c r="F19" s="15"/>
      <c r="G19" s="8">
        <f t="shared" si="1"/>
        <v>0</v>
      </c>
      <c r="H19" s="10"/>
      <c r="I19" s="10"/>
      <c r="J19" s="10"/>
      <c r="K19" s="10"/>
      <c r="L19" s="4"/>
    </row>
    <row r="20" spans="1:12" ht="18" customHeight="1">
      <c r="A20" s="4"/>
      <c r="B20" s="11"/>
      <c r="C20" s="12" t="s">
        <v>310</v>
      </c>
      <c r="D20" s="4"/>
      <c r="E20" s="11"/>
      <c r="F20" s="11"/>
      <c r="G20" s="11"/>
      <c r="H20" s="12" t="s">
        <v>328</v>
      </c>
      <c r="I20" s="4"/>
      <c r="J20" s="4"/>
      <c r="K20" s="4"/>
      <c r="L20" s="4"/>
    </row>
    <row r="21" spans="1:12" ht="18" customHeight="1">
      <c r="A21" s="11" t="s">
        <v>424</v>
      </c>
      <c r="B21" s="4" t="s">
        <v>511</v>
      </c>
      <c r="C21" s="4" t="s">
        <v>511</v>
      </c>
      <c r="D21" s="4" t="s">
        <v>511</v>
      </c>
      <c r="E21" s="4" t="s">
        <v>511</v>
      </c>
      <c r="F21" s="4" t="s">
        <v>511</v>
      </c>
      <c r="G21" s="4" t="s">
        <v>511</v>
      </c>
      <c r="H21" s="4" t="s">
        <v>511</v>
      </c>
      <c r="I21" s="4" t="s">
        <v>511</v>
      </c>
      <c r="J21" s="4" t="s">
        <v>511</v>
      </c>
      <c r="K21" s="4" t="s">
        <v>511</v>
      </c>
      <c r="L21" s="4" t="s">
        <v>511</v>
      </c>
    </row>
    <row r="22" spans="1:12" ht="18" customHeight="1">
      <c r="A22" s="4"/>
      <c r="B22" s="4" t="s">
        <v>512</v>
      </c>
      <c r="C22" s="4" t="s">
        <v>512</v>
      </c>
      <c r="D22" s="4" t="s">
        <v>512</v>
      </c>
      <c r="E22" s="4" t="s">
        <v>512</v>
      </c>
      <c r="F22" s="4" t="s">
        <v>512</v>
      </c>
      <c r="G22" s="4" t="s">
        <v>512</v>
      </c>
      <c r="H22" s="4" t="s">
        <v>512</v>
      </c>
      <c r="I22" s="4" t="s">
        <v>512</v>
      </c>
      <c r="J22" s="4" t="s">
        <v>512</v>
      </c>
      <c r="K22" s="4" t="s">
        <v>512</v>
      </c>
      <c r="L22" s="4" t="s">
        <v>512</v>
      </c>
    </row>
    <row r="23" spans="1:12" ht="18" customHeight="1">
      <c r="A23" s="4"/>
      <c r="B23" s="4" t="s">
        <v>513</v>
      </c>
      <c r="C23" s="4" t="s">
        <v>513</v>
      </c>
      <c r="D23" s="4" t="s">
        <v>513</v>
      </c>
      <c r="E23" s="4" t="s">
        <v>513</v>
      </c>
      <c r="F23" s="4" t="s">
        <v>513</v>
      </c>
      <c r="G23" s="4" t="s">
        <v>513</v>
      </c>
      <c r="H23" s="4" t="s">
        <v>513</v>
      </c>
      <c r="I23" s="4" t="s">
        <v>513</v>
      </c>
      <c r="J23" s="4" t="s">
        <v>513</v>
      </c>
      <c r="K23" s="4" t="s">
        <v>513</v>
      </c>
      <c r="L23" s="4" t="s">
        <v>513</v>
      </c>
    </row>
    <row r="24" spans="1:12" ht="18" customHeight="1">
      <c r="A24" s="4"/>
      <c r="B24" s="4" t="s">
        <v>514</v>
      </c>
      <c r="C24" s="4" t="s">
        <v>514</v>
      </c>
      <c r="D24" s="4" t="s">
        <v>514</v>
      </c>
      <c r="E24" s="4" t="s">
        <v>514</v>
      </c>
      <c r="F24" s="4" t="s">
        <v>514</v>
      </c>
      <c r="G24" s="4" t="s">
        <v>514</v>
      </c>
      <c r="H24" s="4" t="s">
        <v>514</v>
      </c>
      <c r="I24" s="4" t="s">
        <v>514</v>
      </c>
      <c r="J24" s="4" t="s">
        <v>514</v>
      </c>
      <c r="K24" s="4" t="s">
        <v>514</v>
      </c>
      <c r="L24" s="4" t="s">
        <v>514</v>
      </c>
    </row>
    <row r="25" spans="1:12" ht="18" customHeight="1">
      <c r="A25" s="4"/>
      <c r="B25" s="4" t="s">
        <v>515</v>
      </c>
      <c r="C25" s="4" t="s">
        <v>515</v>
      </c>
      <c r="D25" s="4" t="s">
        <v>515</v>
      </c>
      <c r="E25" s="4" t="s">
        <v>515</v>
      </c>
      <c r="F25" s="4" t="s">
        <v>515</v>
      </c>
      <c r="G25" s="4" t="s">
        <v>515</v>
      </c>
      <c r="H25" s="4" t="s">
        <v>515</v>
      </c>
      <c r="I25" s="4" t="s">
        <v>515</v>
      </c>
      <c r="J25" s="4" t="s">
        <v>515</v>
      </c>
      <c r="K25" s="4" t="s">
        <v>515</v>
      </c>
      <c r="L25" s="4" t="s">
        <v>515</v>
      </c>
    </row>
    <row r="26" spans="1:12" ht="18" customHeight="1">
      <c r="A26" s="4" t="s">
        <v>446</v>
      </c>
      <c r="B26" s="2"/>
      <c r="C26" s="2"/>
      <c r="D26" s="2"/>
      <c r="E26" s="2"/>
      <c r="F26" s="2"/>
      <c r="G26" s="2"/>
      <c r="H26" s="2"/>
      <c r="I26" s="2"/>
      <c r="J26" s="2"/>
      <c r="K26" s="2"/>
      <c r="L26" s="2"/>
    </row>
    <row r="27" spans="1:12" ht="18" customHeight="1">
      <c r="A27" s="4"/>
      <c r="B27" s="2"/>
      <c r="C27" s="2"/>
      <c r="D27" s="2"/>
      <c r="E27" s="2"/>
      <c r="F27" s="2"/>
      <c r="G27" s="2"/>
      <c r="H27" s="2"/>
      <c r="I27" s="2"/>
      <c r="J27" s="2"/>
      <c r="K27" s="2"/>
      <c r="L27" s="2"/>
    </row>
    <row r="28" spans="1:12" ht="18" customHeight="1">
      <c r="A28" s="4"/>
      <c r="B28" s="2"/>
      <c r="C28" s="2"/>
      <c r="D28" s="2"/>
      <c r="E28" s="2"/>
      <c r="F28" s="2"/>
      <c r="G28" s="2"/>
      <c r="H28" s="2"/>
      <c r="I28" s="2"/>
      <c r="J28" s="2"/>
      <c r="K28" s="2"/>
      <c r="L28" s="2"/>
    </row>
    <row r="29" spans="1:12" ht="18" customHeight="1">
      <c r="A29" s="4"/>
      <c r="B29" s="2"/>
      <c r="C29" s="2"/>
      <c r="D29" s="2"/>
      <c r="E29" s="2"/>
      <c r="F29" s="2"/>
      <c r="G29" s="2"/>
      <c r="H29" s="2"/>
      <c r="I29" s="2"/>
      <c r="J29" s="2"/>
      <c r="K29" s="2"/>
      <c r="L29" s="2"/>
    </row>
    <row r="30" spans="1:12" ht="18" customHeight="1">
      <c r="A30" s="4"/>
      <c r="B30" s="2"/>
      <c r="C30" s="2"/>
      <c r="D30" s="2"/>
      <c r="E30" s="2"/>
      <c r="F30" s="2"/>
      <c r="G30" s="2"/>
      <c r="H30" s="2"/>
      <c r="I30" s="2"/>
      <c r="J30" s="2"/>
      <c r="K30" s="2"/>
      <c r="L30" s="2"/>
    </row>
  </sheetData>
  <sheetProtection/>
  <mergeCells count="18">
    <mergeCell ref="B1:L1"/>
    <mergeCell ref="G3:K3"/>
    <mergeCell ref="B21:L21"/>
    <mergeCell ref="B22:L22"/>
    <mergeCell ref="B23:L23"/>
    <mergeCell ref="B24:L24"/>
    <mergeCell ref="B25:L25"/>
    <mergeCell ref="B26:L26"/>
    <mergeCell ref="B27:L27"/>
    <mergeCell ref="B28:L28"/>
    <mergeCell ref="B29:L29"/>
    <mergeCell ref="B30:L30"/>
    <mergeCell ref="A3:A5"/>
    <mergeCell ref="B3:B4"/>
    <mergeCell ref="C3:C4"/>
    <mergeCell ref="D3:D4"/>
    <mergeCell ref="E3:E4"/>
    <mergeCell ref="F3:F4"/>
  </mergeCells>
  <printOptions/>
  <pageMargins left="0.75" right="0.75" top="1" bottom="1" header="0.5" footer="0.5"/>
  <pageSetup horizontalDpi="300" verticalDpi="300" orientation="portrait" paperSize="9"/>
  <legacyDrawing r:id="rId2"/>
</worksheet>
</file>

<file path=xl/worksheets/sheet11.xml><?xml version="1.0" encoding="utf-8"?>
<worksheet xmlns="http://schemas.openxmlformats.org/spreadsheetml/2006/main" xmlns:r="http://schemas.openxmlformats.org/officeDocument/2006/relationships">
  <sheetPr>
    <tabColor rgb="FFFFFF00"/>
  </sheetPr>
  <dimension ref="A1:N14"/>
  <sheetViews>
    <sheetView workbookViewId="0" topLeftCell="A1">
      <selection activeCell="G6" sqref="G6:G7"/>
    </sheetView>
  </sheetViews>
  <sheetFormatPr defaultColWidth="9.140625" defaultRowHeight="12.75"/>
  <cols>
    <col min="1" max="14" width="14.00390625" style="0" customWidth="1"/>
  </cols>
  <sheetData>
    <row r="1" spans="1:14" ht="28.5" customHeight="1">
      <c r="A1" s="16" t="s">
        <v>516</v>
      </c>
      <c r="B1" s="16" t="s">
        <v>516</v>
      </c>
      <c r="C1" s="16" t="s">
        <v>516</v>
      </c>
      <c r="D1" s="16" t="s">
        <v>516</v>
      </c>
      <c r="E1" s="16" t="s">
        <v>516</v>
      </c>
      <c r="F1" s="16" t="s">
        <v>516</v>
      </c>
      <c r="G1" s="16" t="s">
        <v>516</v>
      </c>
      <c r="H1" s="16" t="s">
        <v>516</v>
      </c>
      <c r="I1" s="16" t="s">
        <v>516</v>
      </c>
      <c r="J1" s="16" t="s">
        <v>516</v>
      </c>
      <c r="K1" s="16" t="s">
        <v>516</v>
      </c>
      <c r="L1" s="16" t="s">
        <v>516</v>
      </c>
      <c r="M1" s="16" t="s">
        <v>516</v>
      </c>
      <c r="N1" s="16" t="s">
        <v>516</v>
      </c>
    </row>
    <row r="2" spans="1:14" ht="18" customHeight="1">
      <c r="A2" s="84" t="s">
        <v>272</v>
      </c>
      <c r="B2" s="85"/>
      <c r="C2" s="85"/>
      <c r="D2" s="85"/>
      <c r="E2" s="4"/>
      <c r="F2" s="4"/>
      <c r="G2" s="21" t="s">
        <v>273</v>
      </c>
      <c r="H2" s="4"/>
      <c r="I2" s="4"/>
      <c r="J2" s="4"/>
      <c r="K2" s="4"/>
      <c r="L2" s="4"/>
      <c r="M2" s="4"/>
      <c r="N2" s="4"/>
    </row>
    <row r="3" spans="1:14" ht="18" customHeight="1">
      <c r="A3" s="13" t="s">
        <v>276</v>
      </c>
      <c r="B3" s="6" t="s">
        <v>517</v>
      </c>
      <c r="C3" s="6" t="s">
        <v>518</v>
      </c>
      <c r="D3" s="6" t="s">
        <v>331</v>
      </c>
      <c r="E3" s="6" t="s">
        <v>332</v>
      </c>
      <c r="F3" s="6" t="s">
        <v>333</v>
      </c>
      <c r="G3" s="6" t="s">
        <v>334</v>
      </c>
      <c r="H3" s="6" t="s">
        <v>335</v>
      </c>
      <c r="I3" s="6" t="s">
        <v>336</v>
      </c>
      <c r="J3" s="6" t="s">
        <v>336</v>
      </c>
      <c r="K3" s="6" t="s">
        <v>336</v>
      </c>
      <c r="L3" s="6" t="s">
        <v>336</v>
      </c>
      <c r="M3" s="6" t="s">
        <v>336</v>
      </c>
      <c r="N3" s="6" t="s">
        <v>36</v>
      </c>
    </row>
    <row r="4" spans="1:14" ht="18" customHeight="1">
      <c r="A4" s="13" t="s">
        <v>276</v>
      </c>
      <c r="B4" s="6" t="s">
        <v>517</v>
      </c>
      <c r="C4" s="6" t="s">
        <v>518</v>
      </c>
      <c r="D4" s="6" t="s">
        <v>331</v>
      </c>
      <c r="E4" s="6" t="s">
        <v>332</v>
      </c>
      <c r="F4" s="6" t="s">
        <v>333</v>
      </c>
      <c r="G4" s="6" t="s">
        <v>334</v>
      </c>
      <c r="H4" s="86" t="s">
        <v>335</v>
      </c>
      <c r="I4" s="6" t="s">
        <v>296</v>
      </c>
      <c r="J4" s="6" t="s">
        <v>306</v>
      </c>
      <c r="K4" s="6" t="s">
        <v>307</v>
      </c>
      <c r="L4" s="6" t="s">
        <v>308</v>
      </c>
      <c r="M4" s="6" t="s">
        <v>309</v>
      </c>
      <c r="N4" s="6" t="s">
        <v>36</v>
      </c>
    </row>
    <row r="5" spans="1:14" ht="36" customHeight="1">
      <c r="A5" s="3" t="s">
        <v>519</v>
      </c>
      <c r="B5" s="87" t="s">
        <v>520</v>
      </c>
      <c r="C5" s="88" t="s">
        <v>521</v>
      </c>
      <c r="D5" s="4" t="s">
        <v>339</v>
      </c>
      <c r="E5" s="89" t="s">
        <v>522</v>
      </c>
      <c r="F5" s="13" t="s">
        <v>341</v>
      </c>
      <c r="G5" s="90">
        <v>62000000</v>
      </c>
      <c r="H5" s="46">
        <v>523027.1</v>
      </c>
      <c r="I5" s="97">
        <v>39000000</v>
      </c>
      <c r="J5" s="15">
        <v>9000000</v>
      </c>
      <c r="K5" s="15">
        <v>10000000</v>
      </c>
      <c r="L5" s="15">
        <v>10000000</v>
      </c>
      <c r="M5" s="15">
        <v>10000000</v>
      </c>
      <c r="N5" s="4"/>
    </row>
    <row r="6" spans="1:14" ht="18" customHeight="1">
      <c r="A6" s="91" t="s">
        <v>523</v>
      </c>
      <c r="B6" s="3" t="s">
        <v>524</v>
      </c>
      <c r="C6" s="88" t="s">
        <v>521</v>
      </c>
      <c r="D6" s="4" t="s">
        <v>339</v>
      </c>
      <c r="E6" s="10" t="s">
        <v>522</v>
      </c>
      <c r="F6" s="92" t="s">
        <v>525</v>
      </c>
      <c r="G6" s="92">
        <v>322700000</v>
      </c>
      <c r="H6" s="93">
        <v>0</v>
      </c>
      <c r="I6" s="15">
        <v>3500000</v>
      </c>
      <c r="J6" s="15">
        <v>500000</v>
      </c>
      <c r="K6" s="15">
        <v>1000000</v>
      </c>
      <c r="L6" s="15">
        <v>1000000</v>
      </c>
      <c r="M6" s="15">
        <v>1000000</v>
      </c>
      <c r="N6" s="4"/>
    </row>
    <row r="7" spans="1:14" ht="51.75" customHeight="1">
      <c r="A7" s="94"/>
      <c r="B7" s="87" t="s">
        <v>526</v>
      </c>
      <c r="C7" s="88" t="s">
        <v>521</v>
      </c>
      <c r="D7" s="4" t="s">
        <v>339</v>
      </c>
      <c r="E7" s="2" t="s">
        <v>340</v>
      </c>
      <c r="F7" s="95"/>
      <c r="G7" s="95"/>
      <c r="H7" s="15">
        <v>0</v>
      </c>
      <c r="I7" s="15">
        <v>60000</v>
      </c>
      <c r="J7" s="15">
        <v>30000</v>
      </c>
      <c r="K7" s="15">
        <v>30000</v>
      </c>
      <c r="L7" s="61" t="s">
        <v>521</v>
      </c>
      <c r="M7" s="61" t="s">
        <v>521</v>
      </c>
      <c r="N7" s="4"/>
    </row>
    <row r="8" spans="1:14" ht="18" customHeight="1">
      <c r="A8" s="17" t="s">
        <v>342</v>
      </c>
      <c r="B8" s="4"/>
      <c r="C8" s="4"/>
      <c r="D8" s="4"/>
      <c r="E8" s="4"/>
      <c r="F8" s="4"/>
      <c r="G8" s="8">
        <f>SUM(G5:G6)</f>
        <v>384700000</v>
      </c>
      <c r="H8" s="96">
        <f aca="true" t="shared" si="0" ref="H8:M8">SUM(H5:H6)</f>
        <v>523027.1</v>
      </c>
      <c r="I8" s="8">
        <f t="shared" si="0"/>
        <v>42500000</v>
      </c>
      <c r="J8" s="8">
        <f t="shared" si="0"/>
        <v>9500000</v>
      </c>
      <c r="K8" s="8">
        <f t="shared" si="0"/>
        <v>11000000</v>
      </c>
      <c r="L8" s="8">
        <f t="shared" si="0"/>
        <v>11000000</v>
      </c>
      <c r="M8" s="8">
        <f t="shared" si="0"/>
        <v>11000000</v>
      </c>
      <c r="N8" s="4"/>
    </row>
    <row r="9" spans="1:14" ht="18" customHeight="1">
      <c r="A9" s="11"/>
      <c r="B9" s="12" t="s">
        <v>310</v>
      </c>
      <c r="C9" s="4"/>
      <c r="D9" s="4"/>
      <c r="E9" s="4"/>
      <c r="F9" s="4"/>
      <c r="G9" s="4"/>
      <c r="H9" s="4"/>
      <c r="I9" s="11"/>
      <c r="J9" s="12" t="s">
        <v>328</v>
      </c>
      <c r="K9" s="4"/>
      <c r="L9" s="4"/>
      <c r="M9" s="4"/>
      <c r="N9" s="4"/>
    </row>
    <row r="10" spans="1:14" ht="18" customHeight="1">
      <c r="A10" s="4"/>
      <c r="B10" s="4"/>
      <c r="C10" s="4"/>
      <c r="D10" s="4"/>
      <c r="E10" s="4"/>
      <c r="F10" s="4"/>
      <c r="G10" s="4"/>
      <c r="H10" s="4"/>
      <c r="I10" s="4"/>
      <c r="J10" s="4"/>
      <c r="K10" s="4"/>
      <c r="L10" s="4"/>
      <c r="M10" s="4"/>
      <c r="N10" s="4"/>
    </row>
    <row r="11" spans="1:14" ht="18" customHeight="1">
      <c r="A11" s="4" t="s">
        <v>424</v>
      </c>
      <c r="B11" s="4" t="s">
        <v>527</v>
      </c>
      <c r="C11" s="4" t="s">
        <v>527</v>
      </c>
      <c r="D11" s="4" t="s">
        <v>527</v>
      </c>
      <c r="E11" s="4" t="s">
        <v>527</v>
      </c>
      <c r="F11" s="4" t="s">
        <v>527</v>
      </c>
      <c r="G11" s="4" t="s">
        <v>527</v>
      </c>
      <c r="H11" s="4" t="s">
        <v>527</v>
      </c>
      <c r="I11" s="4" t="s">
        <v>527</v>
      </c>
      <c r="J11" s="4" t="s">
        <v>527</v>
      </c>
      <c r="K11" s="4" t="s">
        <v>527</v>
      </c>
      <c r="L11" s="4" t="s">
        <v>527</v>
      </c>
      <c r="M11" s="4" t="s">
        <v>527</v>
      </c>
      <c r="N11" s="4" t="s">
        <v>527</v>
      </c>
    </row>
    <row r="12" spans="1:14" ht="18" customHeight="1">
      <c r="A12" s="4"/>
      <c r="B12" s="4"/>
      <c r="C12" s="4"/>
      <c r="D12" s="4"/>
      <c r="E12" s="4"/>
      <c r="F12" s="4"/>
      <c r="G12" s="4"/>
      <c r="H12" s="4"/>
      <c r="I12" s="4"/>
      <c r="J12" s="4"/>
      <c r="K12" s="4"/>
      <c r="L12" s="4"/>
      <c r="M12" s="4"/>
      <c r="N12" s="4"/>
    </row>
    <row r="13" spans="1:14" ht="18" customHeight="1">
      <c r="A13" s="4"/>
      <c r="B13" s="4"/>
      <c r="C13" s="4"/>
      <c r="D13" s="4"/>
      <c r="E13" s="4"/>
      <c r="F13" s="4"/>
      <c r="G13" s="4"/>
      <c r="H13" s="4"/>
      <c r="I13" s="4"/>
      <c r="J13" s="4"/>
      <c r="K13" s="4"/>
      <c r="L13" s="4"/>
      <c r="M13" s="4"/>
      <c r="N13" s="4"/>
    </row>
    <row r="14" spans="1:14" ht="18" customHeight="1">
      <c r="A14" s="4"/>
      <c r="B14" s="4"/>
      <c r="C14" s="4"/>
      <c r="D14" s="4"/>
      <c r="E14" s="4"/>
      <c r="F14" s="4"/>
      <c r="G14" s="4"/>
      <c r="H14" s="4"/>
      <c r="I14" s="4"/>
      <c r="J14" s="4"/>
      <c r="K14" s="4"/>
      <c r="L14" s="4"/>
      <c r="M14" s="4"/>
      <c r="N14" s="4"/>
    </row>
  </sheetData>
  <sheetProtection/>
  <mergeCells count="16">
    <mergeCell ref="A1:N1"/>
    <mergeCell ref="I3:M3"/>
    <mergeCell ref="B11:N11"/>
    <mergeCell ref="B12:N12"/>
    <mergeCell ref="A3:A4"/>
    <mergeCell ref="A6:A7"/>
    <mergeCell ref="B3:B4"/>
    <mergeCell ref="C3:C4"/>
    <mergeCell ref="D3:D4"/>
    <mergeCell ref="E3:E4"/>
    <mergeCell ref="F3:F4"/>
    <mergeCell ref="F6:F7"/>
    <mergeCell ref="G3:G4"/>
    <mergeCell ref="G6:G7"/>
    <mergeCell ref="H3:H4"/>
    <mergeCell ref="N3:N4"/>
  </mergeCells>
  <printOptions/>
  <pageMargins left="0.75" right="0.75" top="1" bottom="1" header="0.5" footer="0.5"/>
  <pageSetup horizontalDpi="300" verticalDpi="300" orientation="portrait" paperSize="9"/>
  <legacyDrawing r:id="rId2"/>
</worksheet>
</file>

<file path=xl/worksheets/sheet12.xml><?xml version="1.0" encoding="utf-8"?>
<worksheet xmlns="http://schemas.openxmlformats.org/spreadsheetml/2006/main" xmlns:r="http://schemas.openxmlformats.org/officeDocument/2006/relationships">
  <sheetPr>
    <tabColor rgb="FFFFFF00"/>
  </sheetPr>
  <dimension ref="A1:L49"/>
  <sheetViews>
    <sheetView workbookViewId="0" topLeftCell="A1">
      <selection activeCell="N28" sqref="N28"/>
    </sheetView>
  </sheetViews>
  <sheetFormatPr defaultColWidth="9.140625" defaultRowHeight="12.75"/>
  <cols>
    <col min="1" max="1" width="11.7109375" style="0" customWidth="1"/>
    <col min="2" max="2" width="32.28125" style="0" customWidth="1"/>
    <col min="3" max="3" width="18.28125" style="0" customWidth="1"/>
    <col min="4" max="6" width="16.7109375" style="0" customWidth="1"/>
    <col min="7" max="11" width="16.28125" style="0" customWidth="1"/>
    <col min="12" max="12" width="19.7109375" style="0" customWidth="1"/>
  </cols>
  <sheetData>
    <row r="1" spans="1:12" ht="40.5" customHeight="1">
      <c r="A1" s="16"/>
      <c r="B1" s="16" t="s">
        <v>528</v>
      </c>
      <c r="C1" s="16" t="s">
        <v>528</v>
      </c>
      <c r="D1" s="16" t="s">
        <v>528</v>
      </c>
      <c r="E1" s="16" t="s">
        <v>528</v>
      </c>
      <c r="F1" s="16" t="s">
        <v>528</v>
      </c>
      <c r="G1" s="16" t="s">
        <v>528</v>
      </c>
      <c r="H1" s="16" t="s">
        <v>528</v>
      </c>
      <c r="I1" s="16" t="s">
        <v>528</v>
      </c>
      <c r="J1" s="16" t="s">
        <v>528</v>
      </c>
      <c r="K1" s="16" t="s">
        <v>528</v>
      </c>
      <c r="L1" s="16" t="s">
        <v>528</v>
      </c>
    </row>
    <row r="2" spans="1:12" ht="18" customHeight="1">
      <c r="A2" s="4" t="s">
        <v>272</v>
      </c>
      <c r="B2" s="12"/>
      <c r="C2" s="21"/>
      <c r="D2" s="4"/>
      <c r="E2" s="4"/>
      <c r="F2" s="13" t="s">
        <v>273</v>
      </c>
      <c r="G2" s="11"/>
      <c r="H2" s="11"/>
      <c r="I2" s="11"/>
      <c r="J2" s="11"/>
      <c r="K2" s="11" t="s">
        <v>1</v>
      </c>
      <c r="L2" s="4"/>
    </row>
    <row r="3" spans="1:12" ht="23.25" customHeight="1">
      <c r="A3" s="4" t="s">
        <v>529</v>
      </c>
      <c r="B3" s="4" t="s">
        <v>529</v>
      </c>
      <c r="C3" s="4" t="s">
        <v>529</v>
      </c>
      <c r="D3" s="4" t="s">
        <v>529</v>
      </c>
      <c r="E3" s="4" t="s">
        <v>529</v>
      </c>
      <c r="F3" s="4" t="s">
        <v>529</v>
      </c>
      <c r="G3" s="4" t="s">
        <v>529</v>
      </c>
      <c r="H3" s="4" t="s">
        <v>529</v>
      </c>
      <c r="I3" s="4" t="s">
        <v>529</v>
      </c>
      <c r="J3" s="4" t="s">
        <v>529</v>
      </c>
      <c r="K3" s="4" t="s">
        <v>529</v>
      </c>
      <c r="L3" s="4" t="s">
        <v>529</v>
      </c>
    </row>
    <row r="4" spans="1:12" ht="18" customHeight="1">
      <c r="A4" s="6" t="s">
        <v>2</v>
      </c>
      <c r="B4" s="6" t="s">
        <v>530</v>
      </c>
      <c r="C4" s="6" t="s">
        <v>531</v>
      </c>
      <c r="D4" s="6" t="s">
        <v>532</v>
      </c>
      <c r="E4" s="6" t="s">
        <v>533</v>
      </c>
      <c r="F4" s="6" t="s">
        <v>534</v>
      </c>
      <c r="G4" s="6" t="s">
        <v>278</v>
      </c>
      <c r="H4" s="6" t="s">
        <v>278</v>
      </c>
      <c r="I4" s="6" t="s">
        <v>278</v>
      </c>
      <c r="J4" s="6" t="s">
        <v>278</v>
      </c>
      <c r="K4" s="6" t="s">
        <v>278</v>
      </c>
      <c r="L4" s="6" t="s">
        <v>36</v>
      </c>
    </row>
    <row r="5" spans="1:12" ht="18" customHeight="1">
      <c r="A5" s="6" t="s">
        <v>2</v>
      </c>
      <c r="B5" s="6" t="s">
        <v>530</v>
      </c>
      <c r="C5" s="6" t="s">
        <v>531</v>
      </c>
      <c r="D5" s="6" t="s">
        <v>532</v>
      </c>
      <c r="E5" s="6" t="s">
        <v>533</v>
      </c>
      <c r="F5" s="6" t="s">
        <v>534</v>
      </c>
      <c r="G5" s="6" t="s">
        <v>296</v>
      </c>
      <c r="H5" s="76" t="s">
        <v>306</v>
      </c>
      <c r="I5" s="76" t="s">
        <v>307</v>
      </c>
      <c r="J5" s="76" t="s">
        <v>308</v>
      </c>
      <c r="K5" s="76" t="s">
        <v>309</v>
      </c>
      <c r="L5" s="4"/>
    </row>
    <row r="6" spans="1:12" ht="18" customHeight="1">
      <c r="A6" s="6" t="s">
        <v>2</v>
      </c>
      <c r="B6" s="13" t="s">
        <v>263</v>
      </c>
      <c r="C6" s="13" t="s">
        <v>473</v>
      </c>
      <c r="D6" s="13" t="s">
        <v>473</v>
      </c>
      <c r="E6" s="13" t="s">
        <v>473</v>
      </c>
      <c r="F6" s="8">
        <f aca="true" t="shared" si="0" ref="F6:K6">SUM(F7:F16)</f>
        <v>0</v>
      </c>
      <c r="G6" s="8">
        <f t="shared" si="0"/>
        <v>0</v>
      </c>
      <c r="H6" s="8">
        <f t="shared" si="0"/>
        <v>0</v>
      </c>
      <c r="I6" s="8">
        <f t="shared" si="0"/>
        <v>0</v>
      </c>
      <c r="J6" s="8">
        <f t="shared" si="0"/>
        <v>0</v>
      </c>
      <c r="K6" s="8">
        <f t="shared" si="0"/>
        <v>0</v>
      </c>
      <c r="L6" s="4"/>
    </row>
    <row r="7" spans="1:12" ht="18" customHeight="1">
      <c r="A7" s="6" t="s">
        <v>474</v>
      </c>
      <c r="B7" s="4"/>
      <c r="C7" s="4"/>
      <c r="D7" s="4"/>
      <c r="E7" s="4"/>
      <c r="F7" s="77"/>
      <c r="G7" s="8">
        <f>SUM(H7:K7)</f>
        <v>0</v>
      </c>
      <c r="H7" s="10"/>
      <c r="I7" s="10"/>
      <c r="J7" s="10"/>
      <c r="K7" s="10"/>
      <c r="L7" s="4"/>
    </row>
    <row r="8" spans="1:12" ht="18" customHeight="1">
      <c r="A8" s="6" t="s">
        <v>475</v>
      </c>
      <c r="B8" s="4"/>
      <c r="C8" s="4"/>
      <c r="D8" s="4"/>
      <c r="E8" s="4"/>
      <c r="F8" s="77"/>
      <c r="G8" s="8">
        <f aca="true" t="shared" si="1" ref="G8:G16">SUM(H8:K8)</f>
        <v>0</v>
      </c>
      <c r="H8" s="10"/>
      <c r="I8" s="10"/>
      <c r="J8" s="10"/>
      <c r="K8" s="10"/>
      <c r="L8" s="4"/>
    </row>
    <row r="9" spans="1:12" ht="18" customHeight="1">
      <c r="A9" s="6" t="s">
        <v>476</v>
      </c>
      <c r="B9" s="4"/>
      <c r="C9" s="4"/>
      <c r="D9" s="4"/>
      <c r="E9" s="4"/>
      <c r="F9" s="77"/>
      <c r="G9" s="8">
        <f t="shared" si="1"/>
        <v>0</v>
      </c>
      <c r="H9" s="10"/>
      <c r="I9" s="10"/>
      <c r="J9" s="10"/>
      <c r="K9" s="10"/>
      <c r="L9" s="4"/>
    </row>
    <row r="10" spans="1:12" ht="18" customHeight="1">
      <c r="A10" s="6" t="s">
        <v>477</v>
      </c>
      <c r="B10" s="4"/>
      <c r="C10" s="4"/>
      <c r="D10" s="4"/>
      <c r="E10" s="4"/>
      <c r="F10" s="77"/>
      <c r="G10" s="8">
        <f t="shared" si="1"/>
        <v>0</v>
      </c>
      <c r="H10" s="10"/>
      <c r="I10" s="10"/>
      <c r="J10" s="10"/>
      <c r="K10" s="10"/>
      <c r="L10" s="4"/>
    </row>
    <row r="11" spans="1:12" ht="18" customHeight="1">
      <c r="A11" s="6" t="s">
        <v>478</v>
      </c>
      <c r="B11" s="4"/>
      <c r="C11" s="4"/>
      <c r="D11" s="4"/>
      <c r="E11" s="4"/>
      <c r="F11" s="77"/>
      <c r="G11" s="8">
        <f t="shared" si="1"/>
        <v>0</v>
      </c>
      <c r="H11" s="10"/>
      <c r="I11" s="10"/>
      <c r="J11" s="10"/>
      <c r="K11" s="10"/>
      <c r="L11" s="4"/>
    </row>
    <row r="12" spans="1:12" ht="18" customHeight="1">
      <c r="A12" s="6" t="s">
        <v>479</v>
      </c>
      <c r="B12" s="4"/>
      <c r="C12" s="4"/>
      <c r="D12" s="4"/>
      <c r="E12" s="4"/>
      <c r="F12" s="77"/>
      <c r="G12" s="8">
        <f t="shared" si="1"/>
        <v>0</v>
      </c>
      <c r="H12" s="10"/>
      <c r="I12" s="10"/>
      <c r="J12" s="10"/>
      <c r="K12" s="10"/>
      <c r="L12" s="4"/>
    </row>
    <row r="13" spans="1:12" ht="18" customHeight="1">
      <c r="A13" s="6" t="s">
        <v>480</v>
      </c>
      <c r="B13" s="4"/>
      <c r="C13" s="4"/>
      <c r="D13" s="4"/>
      <c r="E13" s="4"/>
      <c r="F13" s="77"/>
      <c r="G13" s="8">
        <f t="shared" si="1"/>
        <v>0</v>
      </c>
      <c r="H13" s="10"/>
      <c r="I13" s="10"/>
      <c r="J13" s="10"/>
      <c r="K13" s="10"/>
      <c r="L13" s="4"/>
    </row>
    <row r="14" spans="1:12" ht="18" customHeight="1">
      <c r="A14" s="6" t="s">
        <v>481</v>
      </c>
      <c r="B14" s="4"/>
      <c r="C14" s="4"/>
      <c r="D14" s="4"/>
      <c r="E14" s="4"/>
      <c r="F14" s="77"/>
      <c r="G14" s="8">
        <f t="shared" si="1"/>
        <v>0</v>
      </c>
      <c r="H14" s="10"/>
      <c r="I14" s="10"/>
      <c r="J14" s="10"/>
      <c r="K14" s="10"/>
      <c r="L14" s="4"/>
    </row>
    <row r="15" spans="1:12" ht="18" customHeight="1">
      <c r="A15" s="6" t="s">
        <v>482</v>
      </c>
      <c r="B15" s="4"/>
      <c r="C15" s="4"/>
      <c r="D15" s="4"/>
      <c r="E15" s="4"/>
      <c r="F15" s="77"/>
      <c r="G15" s="8">
        <f t="shared" si="1"/>
        <v>0</v>
      </c>
      <c r="H15" s="10"/>
      <c r="I15" s="10"/>
      <c r="J15" s="10"/>
      <c r="K15" s="10"/>
      <c r="L15" s="4"/>
    </row>
    <row r="16" spans="1:12" ht="18" customHeight="1">
      <c r="A16" s="6" t="s">
        <v>483</v>
      </c>
      <c r="B16" s="4"/>
      <c r="C16" s="4"/>
      <c r="D16" s="4"/>
      <c r="E16" s="4"/>
      <c r="F16" s="77"/>
      <c r="G16" s="8">
        <f t="shared" si="1"/>
        <v>0</v>
      </c>
      <c r="H16" s="10"/>
      <c r="I16" s="10"/>
      <c r="J16" s="10"/>
      <c r="K16" s="10"/>
      <c r="L16" s="4"/>
    </row>
    <row r="17" spans="1:12" ht="5.25" customHeight="1">
      <c r="A17" s="4"/>
      <c r="B17" s="11"/>
      <c r="C17" s="4"/>
      <c r="D17" s="4"/>
      <c r="E17" s="11"/>
      <c r="F17" s="11"/>
      <c r="G17" s="4"/>
      <c r="H17" s="4"/>
      <c r="I17" s="4"/>
      <c r="J17" s="4"/>
      <c r="K17" s="4"/>
      <c r="L17" s="4"/>
    </row>
    <row r="18" spans="1:12" ht="23.25" customHeight="1">
      <c r="A18" s="4" t="s">
        <v>535</v>
      </c>
      <c r="B18" s="4" t="s">
        <v>535</v>
      </c>
      <c r="C18" s="4" t="s">
        <v>535</v>
      </c>
      <c r="D18" s="4" t="s">
        <v>535</v>
      </c>
      <c r="E18" s="4" t="s">
        <v>535</v>
      </c>
      <c r="F18" s="4" t="s">
        <v>535</v>
      </c>
      <c r="G18" s="4" t="s">
        <v>535</v>
      </c>
      <c r="H18" s="4" t="s">
        <v>535</v>
      </c>
      <c r="I18" s="4" t="s">
        <v>535</v>
      </c>
      <c r="J18" s="4" t="s">
        <v>535</v>
      </c>
      <c r="K18" s="4" t="s">
        <v>535</v>
      </c>
      <c r="L18" s="4" t="s">
        <v>535</v>
      </c>
    </row>
    <row r="19" spans="1:12" ht="16.5" customHeight="1">
      <c r="A19" s="6" t="s">
        <v>2</v>
      </c>
      <c r="B19" s="6" t="s">
        <v>530</v>
      </c>
      <c r="C19" s="6" t="s">
        <v>531</v>
      </c>
      <c r="D19" s="6" t="s">
        <v>532</v>
      </c>
      <c r="E19" s="6" t="s">
        <v>536</v>
      </c>
      <c r="F19" s="6" t="s">
        <v>534</v>
      </c>
      <c r="G19" s="6" t="s">
        <v>497</v>
      </c>
      <c r="H19" s="6" t="s">
        <v>36</v>
      </c>
      <c r="I19" s="6" t="s">
        <v>36</v>
      </c>
      <c r="J19" s="6" t="s">
        <v>36</v>
      </c>
      <c r="K19" s="6" t="s">
        <v>36</v>
      </c>
      <c r="L19" s="6" t="s">
        <v>36</v>
      </c>
    </row>
    <row r="20" spans="1:12" ht="16.5" customHeight="1">
      <c r="A20" s="6" t="s">
        <v>2</v>
      </c>
      <c r="B20" s="6" t="s">
        <v>530</v>
      </c>
      <c r="C20" s="6" t="s">
        <v>531</v>
      </c>
      <c r="D20" s="6" t="s">
        <v>532</v>
      </c>
      <c r="E20" s="6" t="s">
        <v>536</v>
      </c>
      <c r="F20" s="6" t="s">
        <v>534</v>
      </c>
      <c r="G20" s="6" t="s">
        <v>497</v>
      </c>
      <c r="H20" s="6" t="s">
        <v>36</v>
      </c>
      <c r="I20" s="6" t="s">
        <v>36</v>
      </c>
      <c r="J20" s="6" t="s">
        <v>36</v>
      </c>
      <c r="K20" s="6" t="s">
        <v>36</v>
      </c>
      <c r="L20" s="6" t="s">
        <v>36</v>
      </c>
    </row>
    <row r="21" spans="1:12" ht="16.5" customHeight="1">
      <c r="A21" s="6" t="s">
        <v>2</v>
      </c>
      <c r="B21" s="13" t="s">
        <v>263</v>
      </c>
      <c r="C21" s="13" t="s">
        <v>473</v>
      </c>
      <c r="D21" s="13" t="s">
        <v>473</v>
      </c>
      <c r="E21" s="13" t="s">
        <v>473</v>
      </c>
      <c r="F21" s="78">
        <f>SUM(F22:F36)</f>
        <v>7</v>
      </c>
      <c r="G21" s="79">
        <f>SUM(G22:G36)</f>
        <v>1795600</v>
      </c>
      <c r="H21" s="10"/>
      <c r="I21" s="10"/>
      <c r="J21" s="10"/>
      <c r="K21" s="10"/>
      <c r="L21" s="10"/>
    </row>
    <row r="22" spans="1:12" ht="16.5" customHeight="1">
      <c r="A22" s="6" t="s">
        <v>474</v>
      </c>
      <c r="B22" s="80" t="s">
        <v>537</v>
      </c>
      <c r="C22" s="80" t="s">
        <v>538</v>
      </c>
      <c r="D22" s="80">
        <v>2</v>
      </c>
      <c r="E22" s="81">
        <v>42391</v>
      </c>
      <c r="F22" s="82">
        <v>1</v>
      </c>
      <c r="G22" s="83">
        <v>335000</v>
      </c>
      <c r="H22" s="10"/>
      <c r="I22" s="10"/>
      <c r="J22" s="10"/>
      <c r="K22" s="10"/>
      <c r="L22" s="10"/>
    </row>
    <row r="23" spans="1:12" ht="16.5" customHeight="1">
      <c r="A23" s="6" t="s">
        <v>475</v>
      </c>
      <c r="B23" s="80" t="s">
        <v>539</v>
      </c>
      <c r="C23" s="80" t="s">
        <v>540</v>
      </c>
      <c r="D23" s="80">
        <v>2</v>
      </c>
      <c r="E23" s="81">
        <v>42710</v>
      </c>
      <c r="F23" s="82">
        <v>1</v>
      </c>
      <c r="G23" s="83">
        <v>258900</v>
      </c>
      <c r="H23" s="10"/>
      <c r="I23" s="10"/>
      <c r="J23" s="10"/>
      <c r="K23" s="10"/>
      <c r="L23" s="10"/>
    </row>
    <row r="24" spans="1:12" ht="16.5" customHeight="1">
      <c r="A24" s="6" t="s">
        <v>476</v>
      </c>
      <c r="B24" s="80" t="s">
        <v>541</v>
      </c>
      <c r="C24" s="80" t="s">
        <v>542</v>
      </c>
      <c r="D24" s="80">
        <v>1.6</v>
      </c>
      <c r="E24" s="81">
        <v>42712</v>
      </c>
      <c r="F24" s="82">
        <v>1</v>
      </c>
      <c r="G24" s="83">
        <v>137800</v>
      </c>
      <c r="H24" s="10"/>
      <c r="I24" s="10"/>
      <c r="J24" s="10"/>
      <c r="K24" s="10"/>
      <c r="L24" s="10"/>
    </row>
    <row r="25" spans="1:12" ht="18" customHeight="1">
      <c r="A25" s="6" t="s">
        <v>477</v>
      </c>
      <c r="B25" s="80" t="s">
        <v>543</v>
      </c>
      <c r="C25" s="80" t="s">
        <v>544</v>
      </c>
      <c r="D25" s="80">
        <v>2.7</v>
      </c>
      <c r="E25" s="81">
        <v>40894</v>
      </c>
      <c r="F25" s="82">
        <v>1</v>
      </c>
      <c r="G25" s="83">
        <v>385200</v>
      </c>
      <c r="H25" s="10"/>
      <c r="I25" s="10"/>
      <c r="J25" s="10"/>
      <c r="K25" s="10"/>
      <c r="L25" s="10"/>
    </row>
    <row r="26" spans="1:12" ht="18" customHeight="1">
      <c r="A26" s="6" t="s">
        <v>478</v>
      </c>
      <c r="B26" s="80" t="s">
        <v>539</v>
      </c>
      <c r="C26" s="80" t="s">
        <v>545</v>
      </c>
      <c r="D26" s="80">
        <v>2.4</v>
      </c>
      <c r="E26" s="81">
        <v>40980</v>
      </c>
      <c r="F26" s="82">
        <v>1</v>
      </c>
      <c r="G26" s="83">
        <v>251200</v>
      </c>
      <c r="H26" s="10"/>
      <c r="I26" s="10"/>
      <c r="J26" s="10"/>
      <c r="K26" s="10"/>
      <c r="L26" s="10"/>
    </row>
    <row r="27" spans="1:12" ht="18" customHeight="1">
      <c r="A27" s="6" t="s">
        <v>479</v>
      </c>
      <c r="B27" s="80" t="s">
        <v>546</v>
      </c>
      <c r="C27" s="80" t="s">
        <v>547</v>
      </c>
      <c r="D27" s="80">
        <v>2.4</v>
      </c>
      <c r="E27" s="81">
        <v>38135</v>
      </c>
      <c r="F27" s="82">
        <v>1</v>
      </c>
      <c r="G27" s="83">
        <v>329800</v>
      </c>
      <c r="H27" s="10" t="s">
        <v>548</v>
      </c>
      <c r="I27" s="10"/>
      <c r="J27" s="10"/>
      <c r="K27" s="10"/>
      <c r="L27" s="10"/>
    </row>
    <row r="28" spans="1:12" ht="18" customHeight="1">
      <c r="A28" s="6" t="s">
        <v>480</v>
      </c>
      <c r="B28" s="80" t="s">
        <v>549</v>
      </c>
      <c r="C28" s="80" t="s">
        <v>550</v>
      </c>
      <c r="D28" s="80">
        <v>2.6</v>
      </c>
      <c r="E28" s="81">
        <v>41054</v>
      </c>
      <c r="F28" s="82">
        <v>1</v>
      </c>
      <c r="G28" s="83">
        <v>97700</v>
      </c>
      <c r="H28" s="10" t="s">
        <v>548</v>
      </c>
      <c r="I28" s="10"/>
      <c r="J28" s="10"/>
      <c r="K28" s="10"/>
      <c r="L28" s="10"/>
    </row>
    <row r="29" spans="1:12" ht="18" customHeight="1">
      <c r="A29" s="6" t="s">
        <v>481</v>
      </c>
      <c r="B29" s="4"/>
      <c r="C29" s="4"/>
      <c r="D29" s="4"/>
      <c r="E29" s="4"/>
      <c r="F29" s="77"/>
      <c r="G29" s="10"/>
      <c r="H29" s="10"/>
      <c r="I29" s="10"/>
      <c r="J29" s="10"/>
      <c r="K29" s="10"/>
      <c r="L29" s="10"/>
    </row>
    <row r="30" spans="1:12" ht="18" customHeight="1">
      <c r="A30" s="6" t="s">
        <v>482</v>
      </c>
      <c r="B30" s="4"/>
      <c r="C30" s="4"/>
      <c r="D30" s="4"/>
      <c r="E30" s="4"/>
      <c r="F30" s="77"/>
      <c r="G30" s="10"/>
      <c r="H30" s="10"/>
      <c r="I30" s="10"/>
      <c r="J30" s="10"/>
      <c r="K30" s="10"/>
      <c r="L30" s="10"/>
    </row>
    <row r="31" spans="1:12" ht="18" customHeight="1">
      <c r="A31" s="6" t="s">
        <v>483</v>
      </c>
      <c r="B31" s="4"/>
      <c r="C31" s="4"/>
      <c r="D31" s="4"/>
      <c r="E31" s="4"/>
      <c r="F31" s="77"/>
      <c r="G31" s="10"/>
      <c r="H31" s="10"/>
      <c r="I31" s="10"/>
      <c r="J31" s="10"/>
      <c r="K31" s="10"/>
      <c r="L31" s="10"/>
    </row>
    <row r="32" spans="1:12" ht="18" customHeight="1">
      <c r="A32" s="6" t="s">
        <v>484</v>
      </c>
      <c r="B32" s="4"/>
      <c r="C32" s="4"/>
      <c r="D32" s="4"/>
      <c r="E32" s="4"/>
      <c r="F32" s="77"/>
      <c r="G32" s="10"/>
      <c r="H32" s="10"/>
      <c r="I32" s="10"/>
      <c r="J32" s="10"/>
      <c r="K32" s="10"/>
      <c r="L32" s="10"/>
    </row>
    <row r="33" spans="1:12" ht="18" customHeight="1">
      <c r="A33" s="6" t="s">
        <v>485</v>
      </c>
      <c r="B33" s="4"/>
      <c r="C33" s="4"/>
      <c r="D33" s="4"/>
      <c r="E33" s="4"/>
      <c r="F33" s="77"/>
      <c r="G33" s="10"/>
      <c r="H33" s="10"/>
      <c r="I33" s="10"/>
      <c r="J33" s="10"/>
      <c r="K33" s="10"/>
      <c r="L33" s="10"/>
    </row>
    <row r="34" spans="1:12" ht="18" customHeight="1">
      <c r="A34" s="6" t="s">
        <v>486</v>
      </c>
      <c r="B34" s="4"/>
      <c r="C34" s="4"/>
      <c r="D34" s="4"/>
      <c r="E34" s="4"/>
      <c r="F34" s="77"/>
      <c r="G34" s="10"/>
      <c r="H34" s="10"/>
      <c r="I34" s="10"/>
      <c r="J34" s="10"/>
      <c r="K34" s="10"/>
      <c r="L34" s="10"/>
    </row>
    <row r="35" spans="1:12" ht="18" customHeight="1">
      <c r="A35" s="6" t="s">
        <v>487</v>
      </c>
      <c r="B35" s="4"/>
      <c r="C35" s="4"/>
      <c r="D35" s="4"/>
      <c r="E35" s="4"/>
      <c r="F35" s="77"/>
      <c r="G35" s="10"/>
      <c r="H35" s="10"/>
      <c r="I35" s="10"/>
      <c r="J35" s="10"/>
      <c r="K35" s="10"/>
      <c r="L35" s="10"/>
    </row>
    <row r="36" spans="1:12" ht="18" customHeight="1">
      <c r="A36" s="6" t="s">
        <v>551</v>
      </c>
      <c r="B36" s="4"/>
      <c r="C36" s="4"/>
      <c r="D36" s="4"/>
      <c r="E36" s="4"/>
      <c r="F36" s="77"/>
      <c r="G36" s="10"/>
      <c r="H36" s="10"/>
      <c r="I36" s="10"/>
      <c r="J36" s="10"/>
      <c r="K36" s="10"/>
      <c r="L36" s="10"/>
    </row>
    <row r="37" spans="1:12" ht="18" customHeight="1">
      <c r="A37" s="4"/>
      <c r="B37" s="11"/>
      <c r="C37" s="4"/>
      <c r="D37" s="4"/>
      <c r="E37" s="11"/>
      <c r="F37" s="11"/>
      <c r="G37" s="4"/>
      <c r="H37" s="4"/>
      <c r="I37" s="4"/>
      <c r="J37" s="4"/>
      <c r="K37" s="4"/>
      <c r="L37" s="4"/>
    </row>
    <row r="38" spans="1:12" ht="18" customHeight="1">
      <c r="A38" s="4"/>
      <c r="B38" s="11"/>
      <c r="C38" s="12" t="s">
        <v>310</v>
      </c>
      <c r="D38" s="4"/>
      <c r="E38" s="11"/>
      <c r="F38" s="11"/>
      <c r="G38" s="12" t="s">
        <v>328</v>
      </c>
      <c r="H38" s="4"/>
      <c r="I38" s="4"/>
      <c r="J38" s="4"/>
      <c r="K38" s="4"/>
      <c r="L38" s="4"/>
    </row>
    <row r="39" spans="1:12" ht="18" customHeight="1">
      <c r="A39" s="11"/>
      <c r="B39" s="4"/>
      <c r="C39" s="4"/>
      <c r="D39" s="4"/>
      <c r="E39" s="4"/>
      <c r="F39" s="4"/>
      <c r="G39" s="4"/>
      <c r="H39" s="4"/>
      <c r="I39" s="4"/>
      <c r="J39" s="4"/>
      <c r="K39" s="4"/>
      <c r="L39" s="4"/>
    </row>
    <row r="40" spans="1:12" ht="18" customHeight="1">
      <c r="A40" s="4" t="s">
        <v>424</v>
      </c>
      <c r="B40" s="4" t="s">
        <v>552</v>
      </c>
      <c r="C40" s="4" t="s">
        <v>552</v>
      </c>
      <c r="D40" s="4" t="s">
        <v>552</v>
      </c>
      <c r="E40" s="4" t="s">
        <v>552</v>
      </c>
      <c r="F40" s="4" t="s">
        <v>552</v>
      </c>
      <c r="G40" s="4" t="s">
        <v>552</v>
      </c>
      <c r="H40" s="4" t="s">
        <v>552</v>
      </c>
      <c r="I40" s="4" t="s">
        <v>552</v>
      </c>
      <c r="J40" s="4" t="s">
        <v>552</v>
      </c>
      <c r="K40" s="4" t="s">
        <v>552</v>
      </c>
      <c r="L40" s="4" t="s">
        <v>552</v>
      </c>
    </row>
    <row r="41" spans="1:12" ht="18" customHeight="1">
      <c r="A41" s="4"/>
      <c r="B41" s="4" t="s">
        <v>553</v>
      </c>
      <c r="C41" s="4" t="s">
        <v>553</v>
      </c>
      <c r="D41" s="4" t="s">
        <v>553</v>
      </c>
      <c r="E41" s="4" t="s">
        <v>553</v>
      </c>
      <c r="F41" s="4" t="s">
        <v>553</v>
      </c>
      <c r="G41" s="4" t="s">
        <v>553</v>
      </c>
      <c r="H41" s="4" t="s">
        <v>553</v>
      </c>
      <c r="I41" s="4" t="s">
        <v>553</v>
      </c>
      <c r="J41" s="4" t="s">
        <v>553</v>
      </c>
      <c r="K41" s="4" t="s">
        <v>553</v>
      </c>
      <c r="L41" s="4" t="s">
        <v>553</v>
      </c>
    </row>
    <row r="42" spans="1:12" ht="18" customHeight="1">
      <c r="A42" s="4"/>
      <c r="B42" s="4" t="s">
        <v>554</v>
      </c>
      <c r="C42" s="4" t="s">
        <v>554</v>
      </c>
      <c r="D42" s="4" t="s">
        <v>554</v>
      </c>
      <c r="E42" s="4" t="s">
        <v>554</v>
      </c>
      <c r="F42" s="4" t="s">
        <v>554</v>
      </c>
      <c r="G42" s="4" t="s">
        <v>554</v>
      </c>
      <c r="H42" s="4" t="s">
        <v>554</v>
      </c>
      <c r="I42" s="4" t="s">
        <v>554</v>
      </c>
      <c r="J42" s="4" t="s">
        <v>554</v>
      </c>
      <c r="K42" s="4" t="s">
        <v>554</v>
      </c>
      <c r="L42" s="4" t="s">
        <v>554</v>
      </c>
    </row>
    <row r="43" spans="1:12" ht="18" customHeight="1">
      <c r="A43" s="4" t="s">
        <v>446</v>
      </c>
      <c r="B43" s="4"/>
      <c r="C43" s="4"/>
      <c r="D43" s="4"/>
      <c r="E43" s="4"/>
      <c r="F43" s="4"/>
      <c r="G43" s="4"/>
      <c r="H43" s="4"/>
      <c r="I43" s="4"/>
      <c r="J43" s="4"/>
      <c r="K43" s="4"/>
      <c r="L43" s="4"/>
    </row>
    <row r="44" spans="1:12" ht="18" customHeight="1">
      <c r="A44" s="4"/>
      <c r="B44" s="4"/>
      <c r="C44" s="4"/>
      <c r="D44" s="4"/>
      <c r="E44" s="4"/>
      <c r="F44" s="4"/>
      <c r="G44" s="4"/>
      <c r="H44" s="4"/>
      <c r="I44" s="4"/>
      <c r="J44" s="4"/>
      <c r="K44" s="4"/>
      <c r="L44" s="4"/>
    </row>
    <row r="45" spans="1:12" ht="18" customHeight="1">
      <c r="A45" s="4"/>
      <c r="B45" s="4"/>
      <c r="C45" s="4"/>
      <c r="D45" s="4"/>
      <c r="E45" s="4"/>
      <c r="F45" s="4"/>
      <c r="G45" s="4"/>
      <c r="H45" s="4"/>
      <c r="I45" s="4"/>
      <c r="J45" s="4"/>
      <c r="K45" s="4"/>
      <c r="L45" s="4"/>
    </row>
    <row r="46" spans="1:12" ht="18" customHeight="1">
      <c r="A46" s="4"/>
      <c r="B46" s="4"/>
      <c r="C46" s="4"/>
      <c r="D46" s="4"/>
      <c r="E46" s="4"/>
      <c r="F46" s="4"/>
      <c r="G46" s="4"/>
      <c r="H46" s="4"/>
      <c r="I46" s="4"/>
      <c r="J46" s="4"/>
      <c r="K46" s="4"/>
      <c r="L46" s="4"/>
    </row>
    <row r="47" spans="1:12" ht="18" customHeight="1">
      <c r="A47" s="4"/>
      <c r="B47" s="4"/>
      <c r="C47" s="4"/>
      <c r="D47" s="4"/>
      <c r="E47" s="4"/>
      <c r="F47" s="4"/>
      <c r="G47" s="4"/>
      <c r="H47" s="4"/>
      <c r="I47" s="4"/>
      <c r="J47" s="4"/>
      <c r="K47" s="4"/>
      <c r="L47" s="4"/>
    </row>
    <row r="48" spans="1:12" ht="18" customHeight="1">
      <c r="A48" s="4"/>
      <c r="B48" s="4"/>
      <c r="C48" s="4"/>
      <c r="D48" s="4"/>
      <c r="E48" s="4"/>
      <c r="F48" s="4"/>
      <c r="G48" s="4"/>
      <c r="H48" s="4"/>
      <c r="I48" s="4"/>
      <c r="J48" s="4"/>
      <c r="K48" s="4"/>
      <c r="L48" s="4"/>
    </row>
    <row r="49" spans="1:12" ht="18" customHeight="1">
      <c r="A49" s="4"/>
      <c r="B49" s="4"/>
      <c r="C49" s="4"/>
      <c r="D49" s="4"/>
      <c r="E49" s="4"/>
      <c r="F49" s="4"/>
      <c r="G49" s="4"/>
      <c r="H49" s="4"/>
      <c r="I49" s="4"/>
      <c r="J49" s="4"/>
      <c r="K49" s="4"/>
      <c r="L49" s="4"/>
    </row>
  </sheetData>
  <sheetProtection/>
  <mergeCells count="44">
    <mergeCell ref="B1:L1"/>
    <mergeCell ref="A3:L3"/>
    <mergeCell ref="G4:K4"/>
    <mergeCell ref="A18:L18"/>
    <mergeCell ref="H21:L21"/>
    <mergeCell ref="H22:L22"/>
    <mergeCell ref="H23:L23"/>
    <mergeCell ref="H24:L24"/>
    <mergeCell ref="H25:L25"/>
    <mergeCell ref="H26:L26"/>
    <mergeCell ref="H27:L27"/>
    <mergeCell ref="H28:L28"/>
    <mergeCell ref="H29:L29"/>
    <mergeCell ref="H30:L30"/>
    <mergeCell ref="H31:L31"/>
    <mergeCell ref="H32:L32"/>
    <mergeCell ref="H33:L33"/>
    <mergeCell ref="H34:L34"/>
    <mergeCell ref="H35:L35"/>
    <mergeCell ref="H36:L36"/>
    <mergeCell ref="B40:L40"/>
    <mergeCell ref="B41:L41"/>
    <mergeCell ref="B42:L42"/>
    <mergeCell ref="B43:L43"/>
    <mergeCell ref="B44:L44"/>
    <mergeCell ref="B45:L45"/>
    <mergeCell ref="B46:L46"/>
    <mergeCell ref="B47:L47"/>
    <mergeCell ref="B48:L48"/>
    <mergeCell ref="B49:L49"/>
    <mergeCell ref="A4:A6"/>
    <mergeCell ref="A19:A21"/>
    <mergeCell ref="B4:B5"/>
    <mergeCell ref="B19:B20"/>
    <mergeCell ref="C4:C5"/>
    <mergeCell ref="C19:C20"/>
    <mergeCell ref="D4:D5"/>
    <mergeCell ref="D19:D20"/>
    <mergeCell ref="E4:E5"/>
    <mergeCell ref="E19:E20"/>
    <mergeCell ref="F4:F5"/>
    <mergeCell ref="F19:F20"/>
    <mergeCell ref="G19:G20"/>
    <mergeCell ref="H19:L20"/>
  </mergeCells>
  <printOptions/>
  <pageMargins left="0.75" right="0.75" top="1" bottom="1" header="0.5" footer="0.5"/>
  <pageSetup horizontalDpi="300" verticalDpi="300" orientation="portrait"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P45"/>
  <sheetViews>
    <sheetView tabSelected="1" workbookViewId="0" topLeftCell="A1">
      <selection activeCell="K24" sqref="K24"/>
    </sheetView>
  </sheetViews>
  <sheetFormatPr defaultColWidth="9.140625" defaultRowHeight="12.75"/>
  <cols>
    <col min="1" max="1" width="30.28125" style="0" customWidth="1"/>
    <col min="2" max="2" width="13.140625" style="0" customWidth="1"/>
    <col min="3" max="3" width="13.57421875" style="0" customWidth="1"/>
    <col min="4" max="4" width="12.8515625" style="0" customWidth="1"/>
    <col min="5" max="5" width="13.8515625" style="0" customWidth="1"/>
    <col min="6" max="6" width="12.140625" style="0" customWidth="1"/>
    <col min="7" max="7" width="13.28125" style="0" customWidth="1"/>
    <col min="8" max="8" width="12.7109375" style="0" customWidth="1"/>
    <col min="9" max="9" width="11.7109375" style="0" customWidth="1"/>
    <col min="10" max="10" width="10.7109375" style="0" customWidth="1"/>
    <col min="11" max="11" width="33.00390625" style="0" customWidth="1"/>
    <col min="13" max="13" width="15.00390625" style="0" customWidth="1"/>
    <col min="14" max="14" width="11.57421875" style="0" customWidth="1"/>
    <col min="15" max="17" width="8.57421875" style="0" customWidth="1"/>
  </cols>
  <sheetData>
    <row r="1" spans="1:11" ht="25.5" customHeight="1">
      <c r="A1" s="16" t="s">
        <v>555</v>
      </c>
      <c r="B1" s="16" t="s">
        <v>555</v>
      </c>
      <c r="C1" s="16" t="s">
        <v>555</v>
      </c>
      <c r="D1" s="16" t="s">
        <v>555</v>
      </c>
      <c r="E1" s="16" t="s">
        <v>555</v>
      </c>
      <c r="F1" s="16" t="s">
        <v>555</v>
      </c>
      <c r="G1" s="16" t="s">
        <v>555</v>
      </c>
      <c r="H1" s="16" t="s">
        <v>555</v>
      </c>
      <c r="I1" s="16" t="s">
        <v>555</v>
      </c>
      <c r="J1" s="16" t="s">
        <v>555</v>
      </c>
      <c r="K1" s="16" t="s">
        <v>555</v>
      </c>
    </row>
    <row r="2" spans="1:11" ht="18" customHeight="1">
      <c r="A2" s="4" t="s">
        <v>556</v>
      </c>
      <c r="B2" s="3"/>
      <c r="C2" s="3"/>
      <c r="D2" s="3"/>
      <c r="E2" s="13" t="s">
        <v>273</v>
      </c>
      <c r="F2" s="4"/>
      <c r="G2" s="4"/>
      <c r="H2" s="4"/>
      <c r="I2" s="4"/>
      <c r="J2" s="11" t="s">
        <v>557</v>
      </c>
      <c r="K2" s="4"/>
    </row>
    <row r="3" spans="1:11" ht="18" customHeight="1">
      <c r="A3" s="13" t="s">
        <v>276</v>
      </c>
      <c r="B3" s="6" t="s">
        <v>314</v>
      </c>
      <c r="C3" s="6" t="s">
        <v>314</v>
      </c>
      <c r="D3" s="6" t="s">
        <v>314</v>
      </c>
      <c r="E3" s="6" t="s">
        <v>278</v>
      </c>
      <c r="F3" s="6" t="s">
        <v>278</v>
      </c>
      <c r="G3" s="6" t="s">
        <v>278</v>
      </c>
      <c r="H3" s="6" t="s">
        <v>278</v>
      </c>
      <c r="I3" s="6" t="s">
        <v>278</v>
      </c>
      <c r="J3" s="6" t="s">
        <v>279</v>
      </c>
      <c r="K3" s="13" t="s">
        <v>36</v>
      </c>
    </row>
    <row r="4" spans="1:11" ht="18" customHeight="1">
      <c r="A4" s="13" t="s">
        <v>276</v>
      </c>
      <c r="B4" s="6" t="s">
        <v>280</v>
      </c>
      <c r="C4" s="6" t="s">
        <v>281</v>
      </c>
      <c r="D4" s="6" t="s">
        <v>427</v>
      </c>
      <c r="E4" s="6" t="s">
        <v>296</v>
      </c>
      <c r="F4" s="6" t="s">
        <v>306</v>
      </c>
      <c r="G4" s="6" t="s">
        <v>307</v>
      </c>
      <c r="H4" s="6" t="s">
        <v>308</v>
      </c>
      <c r="I4" s="6" t="s">
        <v>309</v>
      </c>
      <c r="J4" s="6" t="s">
        <v>279</v>
      </c>
      <c r="K4" s="13" t="s">
        <v>36</v>
      </c>
    </row>
    <row r="5" spans="1:11" ht="18" customHeight="1">
      <c r="A5" s="17" t="s">
        <v>558</v>
      </c>
      <c r="B5" s="8">
        <f>B6+B10+B14+B15+B18+B20</f>
        <v>4305963.3100000005</v>
      </c>
      <c r="C5" s="8">
        <f>C6+C10+C14+C15+C18+C20</f>
        <v>3862492.5</v>
      </c>
      <c r="D5" s="8">
        <f>D6+D10+D14+D15+D18+D20</f>
        <v>8168455.81</v>
      </c>
      <c r="E5" s="8">
        <f>E6+E10+E15+E18+E20</f>
        <v>8149552</v>
      </c>
      <c r="F5" s="8">
        <f>F6+F10+F15+F18+F20</f>
        <v>1152388</v>
      </c>
      <c r="G5" s="8">
        <f>G6+G10+G15+G18+G20</f>
        <v>1152388</v>
      </c>
      <c r="H5" s="8">
        <f>H6+H10+H15+H18+H20</f>
        <v>1632388</v>
      </c>
      <c r="I5" s="8">
        <f>I6+I10+I15+I18+I20</f>
        <v>4212388</v>
      </c>
      <c r="J5" s="14">
        <f>E5/D5</f>
        <v>0.9976857547571162</v>
      </c>
      <c r="K5" s="4"/>
    </row>
    <row r="6" spans="1:11" ht="18" customHeight="1">
      <c r="A6" s="17" t="s">
        <v>559</v>
      </c>
      <c r="B6" s="8">
        <f>SUM(B7:B9)</f>
        <v>4305963.3100000005</v>
      </c>
      <c r="C6" s="8">
        <f>SUM(C7:C9)</f>
        <v>3862492.5</v>
      </c>
      <c r="D6" s="8">
        <f>SUM(D7:D9)</f>
        <v>8168455.81</v>
      </c>
      <c r="E6" s="8">
        <f>SUM(F6:I6)</f>
        <v>8149552</v>
      </c>
      <c r="F6" s="8">
        <f>SUM(F7:F8)</f>
        <v>1152388</v>
      </c>
      <c r="G6" s="8">
        <f>SUM(G7:G8)</f>
        <v>1152388</v>
      </c>
      <c r="H6" s="8">
        <f>SUM(H7:H9)</f>
        <v>1632388</v>
      </c>
      <c r="I6" s="8">
        <f>SUM(I7:I9)</f>
        <v>4212388</v>
      </c>
      <c r="J6" s="14">
        <f>E6/D6</f>
        <v>0.9976857547571162</v>
      </c>
      <c r="K6" s="4"/>
    </row>
    <row r="7" spans="1:16" ht="18" customHeight="1">
      <c r="A7" s="17" t="s">
        <v>560</v>
      </c>
      <c r="B7" s="8">
        <v>2002987.01</v>
      </c>
      <c r="C7" s="15">
        <f>335520.5+78306</f>
        <v>413826.5</v>
      </c>
      <c r="D7" s="8">
        <f>B7+C7</f>
        <v>2416813.51</v>
      </c>
      <c r="E7" s="8">
        <f>SUM(F7:I7)</f>
        <v>3250963</v>
      </c>
      <c r="F7" s="15">
        <v>812740.75</v>
      </c>
      <c r="G7" s="15">
        <v>812740.75</v>
      </c>
      <c r="H7" s="15">
        <v>812740.75</v>
      </c>
      <c r="I7" s="15">
        <v>812740.75</v>
      </c>
      <c r="J7" s="14">
        <f>E7/D7</f>
        <v>1.3451443342850231</v>
      </c>
      <c r="K7" s="4"/>
      <c r="O7" s="69"/>
      <c r="P7" s="70"/>
    </row>
    <row r="8" spans="1:16" ht="18" customHeight="1">
      <c r="A8" s="17" t="s">
        <v>561</v>
      </c>
      <c r="B8" s="8">
        <v>1078976.3</v>
      </c>
      <c r="C8" s="15">
        <f>36700+351966</f>
        <v>388666</v>
      </c>
      <c r="D8" s="8">
        <f>B8+C8</f>
        <v>1467642.3</v>
      </c>
      <c r="E8" s="8">
        <f>SUM(F8:I8)</f>
        <v>1358589</v>
      </c>
      <c r="F8" s="15">
        <v>339647.25</v>
      </c>
      <c r="G8" s="15">
        <v>339647.25</v>
      </c>
      <c r="H8" s="15">
        <v>339647.25</v>
      </c>
      <c r="I8" s="15">
        <v>339647.25</v>
      </c>
      <c r="J8" s="14">
        <f>E8/D8</f>
        <v>0.9256949053594326</v>
      </c>
      <c r="K8" s="4"/>
      <c r="M8" s="71"/>
      <c r="O8" s="69"/>
      <c r="P8" s="70"/>
    </row>
    <row r="9" spans="1:16" ht="18" customHeight="1">
      <c r="A9" s="17" t="s">
        <v>562</v>
      </c>
      <c r="B9" s="8">
        <v>1224000</v>
      </c>
      <c r="C9" s="15">
        <v>3060000</v>
      </c>
      <c r="D9" s="8">
        <f>B9+C9</f>
        <v>4284000</v>
      </c>
      <c r="E9" s="8">
        <f>SUM(F9:I9)</f>
        <v>3540000</v>
      </c>
      <c r="F9" s="15"/>
      <c r="G9" s="15"/>
      <c r="H9" s="15">
        <v>480000</v>
      </c>
      <c r="I9" s="15">
        <v>3060000</v>
      </c>
      <c r="J9" s="14">
        <f>E9/D9</f>
        <v>0.8263305322128851</v>
      </c>
      <c r="K9" s="4" t="s">
        <v>563</v>
      </c>
      <c r="M9" s="71"/>
      <c r="O9" s="72"/>
      <c r="P9" s="70"/>
    </row>
    <row r="10" spans="1:16" ht="18" customHeight="1">
      <c r="A10" s="17" t="s">
        <v>564</v>
      </c>
      <c r="B10" s="23">
        <f>SUM(B11:B13)</f>
        <v>0</v>
      </c>
      <c r="C10" s="23">
        <f>SUM(C11:C13)</f>
        <v>0</v>
      </c>
      <c r="D10" s="23">
        <f aca="true" t="shared" si="0" ref="D10:I10">SUM(D11:D13)</f>
        <v>0</v>
      </c>
      <c r="E10" s="23">
        <f t="shared" si="0"/>
        <v>0</v>
      </c>
      <c r="F10" s="23">
        <f t="shared" si="0"/>
        <v>0</v>
      </c>
      <c r="G10" s="23">
        <f t="shared" si="0"/>
        <v>0</v>
      </c>
      <c r="H10" s="23">
        <f t="shared" si="0"/>
        <v>0</v>
      </c>
      <c r="I10" s="23">
        <f t="shared" si="0"/>
        <v>0</v>
      </c>
      <c r="J10" s="14" t="e">
        <f aca="true" t="shared" si="1" ref="J10:J44">E10/D10</f>
        <v>#DIV/0!</v>
      </c>
      <c r="K10" s="4"/>
      <c r="P10" s="70"/>
    </row>
    <row r="11" spans="1:11" ht="18" customHeight="1" hidden="1">
      <c r="A11" s="17" t="s">
        <v>565</v>
      </c>
      <c r="B11" s="10"/>
      <c r="C11" s="15"/>
      <c r="D11" s="8">
        <f>B11+C11</f>
        <v>0</v>
      </c>
      <c r="E11" s="8">
        <f>SUM(F11:I11)</f>
        <v>0</v>
      </c>
      <c r="F11" s="10"/>
      <c r="G11" s="10"/>
      <c r="H11" s="10"/>
      <c r="I11" s="10"/>
      <c r="J11" s="14" t="e">
        <f t="shared" si="1"/>
        <v>#DIV/0!</v>
      </c>
      <c r="K11" s="4"/>
    </row>
    <row r="12" spans="1:11" ht="18" customHeight="1" hidden="1">
      <c r="A12" s="17" t="s">
        <v>566</v>
      </c>
      <c r="B12" s="10"/>
      <c r="C12" s="15"/>
      <c r="D12" s="8">
        <f>B12+C12</f>
        <v>0</v>
      </c>
      <c r="E12" s="8">
        <f>SUM(F12:I12)</f>
        <v>0</v>
      </c>
      <c r="F12" s="10"/>
      <c r="G12" s="10"/>
      <c r="H12" s="10"/>
      <c r="I12" s="10"/>
      <c r="J12" s="14" t="e">
        <f t="shared" si="1"/>
        <v>#DIV/0!</v>
      </c>
      <c r="K12" s="4"/>
    </row>
    <row r="13" spans="1:11" ht="18" customHeight="1" hidden="1">
      <c r="A13" s="17" t="s">
        <v>567</v>
      </c>
      <c r="B13" s="10"/>
      <c r="C13" s="15"/>
      <c r="D13" s="8">
        <f>B13+C13</f>
        <v>0</v>
      </c>
      <c r="E13" s="8">
        <f>SUM(F13:I13)</f>
        <v>0</v>
      </c>
      <c r="F13" s="10"/>
      <c r="G13" s="10"/>
      <c r="H13" s="10"/>
      <c r="I13" s="10"/>
      <c r="J13" s="14" t="e">
        <f t="shared" si="1"/>
        <v>#DIV/0!</v>
      </c>
      <c r="K13" s="4"/>
    </row>
    <row r="14" spans="1:11" ht="18" customHeight="1">
      <c r="A14" s="17" t="s">
        <v>568</v>
      </c>
      <c r="B14" s="66"/>
      <c r="C14" s="67"/>
      <c r="D14" s="8">
        <f>B14+C14</f>
        <v>0</v>
      </c>
      <c r="E14" s="8">
        <f>SUM(F14:I14)</f>
        <v>0</v>
      </c>
      <c r="F14" s="10"/>
      <c r="G14" s="10"/>
      <c r="H14" s="10"/>
      <c r="I14" s="10"/>
      <c r="J14" s="14" t="e">
        <f t="shared" si="1"/>
        <v>#DIV/0!</v>
      </c>
      <c r="K14" s="4"/>
    </row>
    <row r="15" spans="1:11" ht="18" customHeight="1">
      <c r="A15" s="17" t="s">
        <v>569</v>
      </c>
      <c r="B15" s="23">
        <f>SUM(B16:B17)</f>
        <v>0</v>
      </c>
      <c r="C15" s="23">
        <f>SUM(C16:C17)</f>
        <v>0</v>
      </c>
      <c r="D15" s="23">
        <f aca="true" t="shared" si="2" ref="D15:I15">SUM(D16:D17)</f>
        <v>0</v>
      </c>
      <c r="E15" s="23">
        <f t="shared" si="2"/>
        <v>0</v>
      </c>
      <c r="F15" s="23">
        <f t="shared" si="2"/>
        <v>0</v>
      </c>
      <c r="G15" s="23">
        <f t="shared" si="2"/>
        <v>0</v>
      </c>
      <c r="H15" s="23">
        <f t="shared" si="2"/>
        <v>0</v>
      </c>
      <c r="I15" s="23">
        <f t="shared" si="2"/>
        <v>0</v>
      </c>
      <c r="J15" s="14" t="e">
        <f t="shared" si="1"/>
        <v>#DIV/0!</v>
      </c>
      <c r="K15" s="4"/>
    </row>
    <row r="16" spans="1:11" ht="18" customHeight="1" hidden="1">
      <c r="A16" s="17" t="s">
        <v>570</v>
      </c>
      <c r="B16" s="10"/>
      <c r="C16" s="15"/>
      <c r="D16" s="8">
        <f aca="true" t="shared" si="3" ref="D16:D21">B16+C16</f>
        <v>0</v>
      </c>
      <c r="E16" s="8">
        <f aca="true" t="shared" si="4" ref="E16:E21">SUM(F16:I16)</f>
        <v>0</v>
      </c>
      <c r="F16" s="10"/>
      <c r="G16" s="10"/>
      <c r="H16" s="10"/>
      <c r="I16" s="10"/>
      <c r="J16" s="14" t="e">
        <f t="shared" si="1"/>
        <v>#DIV/0!</v>
      </c>
      <c r="K16" s="4"/>
    </row>
    <row r="17" spans="1:11" ht="18" customHeight="1" hidden="1">
      <c r="A17" s="17" t="s">
        <v>571</v>
      </c>
      <c r="B17" s="10"/>
      <c r="C17" s="15"/>
      <c r="D17" s="8">
        <f t="shared" si="3"/>
        <v>0</v>
      </c>
      <c r="E17" s="8">
        <f t="shared" si="4"/>
        <v>0</v>
      </c>
      <c r="F17" s="10"/>
      <c r="G17" s="10"/>
      <c r="H17" s="10"/>
      <c r="I17" s="10"/>
      <c r="J17" s="14" t="e">
        <f t="shared" si="1"/>
        <v>#DIV/0!</v>
      </c>
      <c r="K17" s="4"/>
    </row>
    <row r="18" spans="1:11" ht="18" customHeight="1">
      <c r="A18" s="17" t="s">
        <v>572</v>
      </c>
      <c r="B18" s="10"/>
      <c r="C18" s="15"/>
      <c r="D18" s="8">
        <f t="shared" si="3"/>
        <v>0</v>
      </c>
      <c r="E18" s="8">
        <f t="shared" si="4"/>
        <v>0</v>
      </c>
      <c r="F18" s="10"/>
      <c r="G18" s="10"/>
      <c r="H18" s="10"/>
      <c r="I18" s="10"/>
      <c r="J18" s="14" t="e">
        <f t="shared" si="1"/>
        <v>#DIV/0!</v>
      </c>
      <c r="K18" s="4"/>
    </row>
    <row r="19" spans="1:11" ht="18" customHeight="1" hidden="1">
      <c r="A19" s="17" t="s">
        <v>573</v>
      </c>
      <c r="B19" s="10"/>
      <c r="C19" s="15"/>
      <c r="D19" s="8">
        <f t="shared" si="3"/>
        <v>0</v>
      </c>
      <c r="E19" s="8">
        <f t="shared" si="4"/>
        <v>0</v>
      </c>
      <c r="F19" s="10"/>
      <c r="G19" s="10"/>
      <c r="H19" s="10"/>
      <c r="I19" s="10"/>
      <c r="J19" s="14" t="e">
        <f t="shared" si="1"/>
        <v>#DIV/0!</v>
      </c>
      <c r="K19" s="4"/>
    </row>
    <row r="20" spans="1:11" ht="18" customHeight="1">
      <c r="A20" s="17" t="s">
        <v>574</v>
      </c>
      <c r="B20" s="10"/>
      <c r="C20" s="15"/>
      <c r="D20" s="8">
        <f t="shared" si="3"/>
        <v>0</v>
      </c>
      <c r="E20" s="8">
        <f t="shared" si="4"/>
        <v>0</v>
      </c>
      <c r="F20" s="10"/>
      <c r="G20" s="10"/>
      <c r="H20" s="10"/>
      <c r="I20" s="10"/>
      <c r="J20" s="14" t="e">
        <f t="shared" si="1"/>
        <v>#DIV/0!</v>
      </c>
      <c r="K20" s="4"/>
    </row>
    <row r="21" spans="1:11" ht="18" customHeight="1" hidden="1">
      <c r="A21" s="17" t="s">
        <v>575</v>
      </c>
      <c r="B21" s="10"/>
      <c r="C21" s="15"/>
      <c r="D21" s="8">
        <f t="shared" si="3"/>
        <v>0</v>
      </c>
      <c r="E21" s="8">
        <f t="shared" si="4"/>
        <v>0</v>
      </c>
      <c r="F21" s="10"/>
      <c r="G21" s="10"/>
      <c r="H21" s="10"/>
      <c r="I21" s="10"/>
      <c r="J21" s="14" t="e">
        <f t="shared" si="1"/>
        <v>#DIV/0!</v>
      </c>
      <c r="K21" s="4"/>
    </row>
    <row r="22" spans="1:11" ht="18" customHeight="1">
      <c r="A22" s="17" t="s">
        <v>576</v>
      </c>
      <c r="B22" s="8">
        <f>B23+B28+B34+B36+B40+B42</f>
        <v>8411327.75</v>
      </c>
      <c r="C22" s="8">
        <f>C23+C28+C34+C36+C40+C42</f>
        <v>2516897.25</v>
      </c>
      <c r="D22" s="8">
        <f>SUM(D23:D28)+SUM(D34:D36)+SUM(D40:D43)</f>
        <v>21856450</v>
      </c>
      <c r="E22" s="8">
        <f>E23+E28+E34+E36+E40+E42</f>
        <v>13066295.5</v>
      </c>
      <c r="F22" s="8">
        <f>F23+F28+F34+F36+F40+F42</f>
        <v>3266573.88</v>
      </c>
      <c r="G22" s="8">
        <f>G23+G28+G34+G36+G40+G42</f>
        <v>3266573.88</v>
      </c>
      <c r="H22" s="8">
        <f>H23+H28+H34+H36+H40+H42</f>
        <v>3266573.88</v>
      </c>
      <c r="I22" s="8">
        <f>I23+I28+I34+I36+I40+I42</f>
        <v>3266573.86</v>
      </c>
      <c r="J22" s="14">
        <f t="shared" si="1"/>
        <v>0.5978233198895521</v>
      </c>
      <c r="K22" s="4"/>
    </row>
    <row r="23" spans="1:14" ht="18" customHeight="1">
      <c r="A23" s="17" t="s">
        <v>577</v>
      </c>
      <c r="B23" s="8">
        <f>SUM(B24:B27)</f>
        <v>8411327.75</v>
      </c>
      <c r="C23" s="8">
        <f>SUM(C24:C27)</f>
        <v>2516897.25</v>
      </c>
      <c r="D23" s="8">
        <f>B23+C23</f>
        <v>10928225</v>
      </c>
      <c r="E23" s="8">
        <f>SUM(F23:I23)</f>
        <v>13066295.5</v>
      </c>
      <c r="F23" s="23">
        <f>SUM(F24:F27)</f>
        <v>3266573.88</v>
      </c>
      <c r="G23" s="23">
        <f>SUM(G24:G27)</f>
        <v>3266573.88</v>
      </c>
      <c r="H23" s="23">
        <f>SUM(H24:H27)</f>
        <v>3266573.88</v>
      </c>
      <c r="I23" s="23">
        <f>SUM(I24:I27)</f>
        <v>3266573.86</v>
      </c>
      <c r="J23" s="14">
        <f t="shared" si="1"/>
        <v>1.1956466397791041</v>
      </c>
      <c r="K23" s="4"/>
      <c r="N23" s="73"/>
    </row>
    <row r="24" spans="1:14" ht="27" customHeight="1">
      <c r="A24" s="17" t="s">
        <v>578</v>
      </c>
      <c r="B24" s="8">
        <v>6900000</v>
      </c>
      <c r="C24" s="15">
        <v>2300000</v>
      </c>
      <c r="D24" s="8">
        <f>B24+C24</f>
        <v>9200000</v>
      </c>
      <c r="E24" s="8">
        <f>SUM(F24:I24)</f>
        <v>12000000</v>
      </c>
      <c r="F24" s="15">
        <v>3000000</v>
      </c>
      <c r="G24" s="15">
        <v>3000000</v>
      </c>
      <c r="H24" s="15">
        <v>3000000</v>
      </c>
      <c r="I24" s="15">
        <v>3000000</v>
      </c>
      <c r="J24" s="14">
        <f t="shared" si="1"/>
        <v>1.3043478260869565</v>
      </c>
      <c r="K24" s="2" t="s">
        <v>579</v>
      </c>
      <c r="N24" s="73"/>
    </row>
    <row r="25" spans="1:14" ht="18" customHeight="1">
      <c r="A25" s="17" t="s">
        <v>580</v>
      </c>
      <c r="B25" s="8">
        <v>0</v>
      </c>
      <c r="C25" s="15"/>
      <c r="D25" s="8">
        <f>B25+C25</f>
        <v>0</v>
      </c>
      <c r="E25" s="8">
        <f>SUM(F25:I25)</f>
        <v>0</v>
      </c>
      <c r="F25" s="15"/>
      <c r="G25" s="15"/>
      <c r="H25" s="15"/>
      <c r="I25" s="15"/>
      <c r="J25" s="14" t="e">
        <f t="shared" si="1"/>
        <v>#DIV/0!</v>
      </c>
      <c r="K25" s="4"/>
      <c r="N25" s="73"/>
    </row>
    <row r="26" spans="1:15" ht="18" customHeight="1">
      <c r="A26" s="17" t="s">
        <v>581</v>
      </c>
      <c r="B26" s="8">
        <f>1450901.75+7280</f>
        <v>1458181.75</v>
      </c>
      <c r="C26" s="15">
        <v>213897.25</v>
      </c>
      <c r="D26" s="8">
        <f>B26+C26</f>
        <v>1672079</v>
      </c>
      <c r="E26" s="8">
        <f>SUM(F26:I26)</f>
        <v>1051295.5</v>
      </c>
      <c r="F26" s="15">
        <v>262823.88</v>
      </c>
      <c r="G26" s="15">
        <v>262823.88</v>
      </c>
      <c r="H26" s="15">
        <v>262823.88</v>
      </c>
      <c r="I26" s="15">
        <v>262823.86</v>
      </c>
      <c r="J26" s="14">
        <f t="shared" si="1"/>
        <v>0.6287355441937851</v>
      </c>
      <c r="K26" s="4"/>
      <c r="N26" s="73"/>
      <c r="O26" s="74"/>
    </row>
    <row r="27" spans="1:15" ht="18" customHeight="1">
      <c r="A27" s="17" t="s">
        <v>582</v>
      </c>
      <c r="B27" s="8">
        <f>6000+44146+3000</f>
        <v>53146</v>
      </c>
      <c r="C27" s="15">
        <v>3000</v>
      </c>
      <c r="D27" s="8">
        <f>B27+C27</f>
        <v>56146</v>
      </c>
      <c r="E27" s="8">
        <f>SUM(F27:I27)</f>
        <v>15000</v>
      </c>
      <c r="F27" s="15">
        <v>3750</v>
      </c>
      <c r="G27" s="15">
        <v>3750</v>
      </c>
      <c r="H27" s="15">
        <v>3750</v>
      </c>
      <c r="I27" s="15">
        <v>3750</v>
      </c>
      <c r="J27" s="14">
        <f t="shared" si="1"/>
        <v>0.2671606169629181</v>
      </c>
      <c r="K27" s="4"/>
      <c r="N27" s="73"/>
      <c r="O27" s="75"/>
    </row>
    <row r="28" spans="1:16" ht="18" customHeight="1">
      <c r="A28" s="17" t="s">
        <v>583</v>
      </c>
      <c r="B28" s="23">
        <f>SUM(B29:B33)</f>
        <v>0</v>
      </c>
      <c r="C28" s="23">
        <f>SUM(C29:C33)</f>
        <v>0</v>
      </c>
      <c r="D28" s="23">
        <f>SUM(D29:D33)</f>
        <v>0</v>
      </c>
      <c r="E28" s="23">
        <f>E29+E31+E33</f>
        <v>0</v>
      </c>
      <c r="F28" s="23">
        <f>F29+F31+F33</f>
        <v>0</v>
      </c>
      <c r="G28" s="23">
        <f>G29+G31+G33</f>
        <v>0</v>
      </c>
      <c r="H28" s="23">
        <f>H29+H31+H33</f>
        <v>0</v>
      </c>
      <c r="I28" s="23">
        <f>I29+I31+I33</f>
        <v>0</v>
      </c>
      <c r="J28" s="14" t="e">
        <f t="shared" si="1"/>
        <v>#DIV/0!</v>
      </c>
      <c r="K28" s="4"/>
      <c r="P28" s="70"/>
    </row>
    <row r="29" spans="1:11" ht="18" customHeight="1" hidden="1">
      <c r="A29" s="17" t="s">
        <v>584</v>
      </c>
      <c r="B29" s="10"/>
      <c r="C29" s="15"/>
      <c r="D29" s="8">
        <f>B29+C29</f>
        <v>0</v>
      </c>
      <c r="E29" s="8">
        <f>SUM(F29:I29)</f>
        <v>0</v>
      </c>
      <c r="F29" s="10"/>
      <c r="G29" s="10"/>
      <c r="H29" s="10"/>
      <c r="I29" s="10"/>
      <c r="J29" s="14" t="e">
        <f t="shared" si="1"/>
        <v>#DIV/0!</v>
      </c>
      <c r="K29" s="4"/>
    </row>
    <row r="30" spans="1:11" ht="18" customHeight="1" hidden="1">
      <c r="A30" s="17" t="s">
        <v>585</v>
      </c>
      <c r="B30" s="10"/>
      <c r="C30" s="15"/>
      <c r="D30" s="8">
        <f aca="true" t="shared" si="5" ref="D30:D35">B30+C30</f>
        <v>0</v>
      </c>
      <c r="E30" s="8">
        <f aca="true" t="shared" si="6" ref="E30:E35">SUM(F30:I30)</f>
        <v>0</v>
      </c>
      <c r="F30" s="10"/>
      <c r="G30" s="10"/>
      <c r="H30" s="10"/>
      <c r="I30" s="10"/>
      <c r="J30" s="14" t="e">
        <f t="shared" si="1"/>
        <v>#DIV/0!</v>
      </c>
      <c r="K30" s="4"/>
    </row>
    <row r="31" spans="1:11" ht="18" customHeight="1" hidden="1">
      <c r="A31" s="17" t="s">
        <v>586</v>
      </c>
      <c r="B31" s="10"/>
      <c r="C31" s="15"/>
      <c r="D31" s="8">
        <f t="shared" si="5"/>
        <v>0</v>
      </c>
      <c r="E31" s="8">
        <f t="shared" si="6"/>
        <v>0</v>
      </c>
      <c r="F31" s="10"/>
      <c r="G31" s="10"/>
      <c r="H31" s="10"/>
      <c r="I31" s="10"/>
      <c r="J31" s="14" t="e">
        <f t="shared" si="1"/>
        <v>#DIV/0!</v>
      </c>
      <c r="K31" s="4"/>
    </row>
    <row r="32" spans="1:11" ht="18" customHeight="1" hidden="1">
      <c r="A32" s="17" t="s">
        <v>585</v>
      </c>
      <c r="B32" s="10"/>
      <c r="C32" s="15"/>
      <c r="D32" s="8">
        <f t="shared" si="5"/>
        <v>0</v>
      </c>
      <c r="E32" s="8">
        <f t="shared" si="6"/>
        <v>0</v>
      </c>
      <c r="F32" s="10"/>
      <c r="G32" s="10"/>
      <c r="H32" s="10"/>
      <c r="I32" s="10"/>
      <c r="J32" s="14" t="e">
        <f t="shared" si="1"/>
        <v>#DIV/0!</v>
      </c>
      <c r="K32" s="4"/>
    </row>
    <row r="33" spans="1:11" ht="18" customHeight="1" hidden="1">
      <c r="A33" s="17" t="s">
        <v>587</v>
      </c>
      <c r="B33" s="10"/>
      <c r="C33" s="15"/>
      <c r="D33" s="8">
        <f t="shared" si="5"/>
        <v>0</v>
      </c>
      <c r="E33" s="8">
        <f t="shared" si="6"/>
        <v>0</v>
      </c>
      <c r="F33" s="10"/>
      <c r="G33" s="10"/>
      <c r="H33" s="10"/>
      <c r="I33" s="10"/>
      <c r="J33" s="14" t="e">
        <f t="shared" si="1"/>
        <v>#DIV/0!</v>
      </c>
      <c r="K33" s="4"/>
    </row>
    <row r="34" spans="1:11" ht="18" customHeight="1">
      <c r="A34" s="17" t="s">
        <v>588</v>
      </c>
      <c r="B34" s="66"/>
      <c r="C34" s="67"/>
      <c r="D34" s="8">
        <f t="shared" si="5"/>
        <v>0</v>
      </c>
      <c r="E34" s="23">
        <f t="shared" si="6"/>
        <v>0</v>
      </c>
      <c r="F34" s="68"/>
      <c r="G34" s="68"/>
      <c r="H34" s="68"/>
      <c r="I34" s="68"/>
      <c r="J34" s="63" t="e">
        <f t="shared" si="1"/>
        <v>#DIV/0!</v>
      </c>
      <c r="K34" s="4"/>
    </row>
    <row r="35" spans="1:11" ht="18" customHeight="1" hidden="1">
      <c r="A35" s="17" t="s">
        <v>585</v>
      </c>
      <c r="B35" s="66"/>
      <c r="C35" s="67"/>
      <c r="D35" s="8">
        <f t="shared" si="5"/>
        <v>0</v>
      </c>
      <c r="E35" s="8">
        <f t="shared" si="6"/>
        <v>0</v>
      </c>
      <c r="F35" s="10"/>
      <c r="G35" s="10"/>
      <c r="H35" s="10"/>
      <c r="I35" s="10"/>
      <c r="J35" s="14" t="e">
        <f t="shared" si="1"/>
        <v>#DIV/0!</v>
      </c>
      <c r="K35" s="4"/>
    </row>
    <row r="36" spans="1:11" ht="18" customHeight="1">
      <c r="A36" s="17" t="s">
        <v>589</v>
      </c>
      <c r="B36" s="23">
        <f>SUM(B37:B39)</f>
        <v>0</v>
      </c>
      <c r="C36" s="23">
        <f>SUM(C37:C39)</f>
        <v>0</v>
      </c>
      <c r="D36" s="23">
        <f>SUM(D37:D39)</f>
        <v>0</v>
      </c>
      <c r="E36" s="23">
        <f>E37+E39</f>
        <v>0</v>
      </c>
      <c r="F36" s="23">
        <f>F37+F39</f>
        <v>0</v>
      </c>
      <c r="G36" s="23">
        <f>G37+G39</f>
        <v>0</v>
      </c>
      <c r="H36" s="23">
        <f>H37+H39</f>
        <v>0</v>
      </c>
      <c r="I36" s="23">
        <f>I37+I39</f>
        <v>0</v>
      </c>
      <c r="J36" s="14" t="e">
        <f t="shared" si="1"/>
        <v>#DIV/0!</v>
      </c>
      <c r="K36" s="4"/>
    </row>
    <row r="37" spans="1:11" ht="18" customHeight="1" hidden="1">
      <c r="A37" s="17" t="s">
        <v>590</v>
      </c>
      <c r="B37" s="10"/>
      <c r="C37" s="15"/>
      <c r="D37" s="8">
        <f aca="true" t="shared" si="7" ref="D37:D44">B37+C37</f>
        <v>0</v>
      </c>
      <c r="E37" s="8">
        <f aca="true" t="shared" si="8" ref="E37:E44">SUM(F37:I37)</f>
        <v>0</v>
      </c>
      <c r="F37" s="10"/>
      <c r="G37" s="10"/>
      <c r="H37" s="10"/>
      <c r="I37" s="10"/>
      <c r="J37" s="14" t="e">
        <f t="shared" si="1"/>
        <v>#DIV/0!</v>
      </c>
      <c r="K37" s="4"/>
    </row>
    <row r="38" spans="1:11" ht="18" customHeight="1" hidden="1">
      <c r="A38" s="17" t="s">
        <v>585</v>
      </c>
      <c r="B38" s="10"/>
      <c r="C38" s="15"/>
      <c r="D38" s="8">
        <f t="shared" si="7"/>
        <v>0</v>
      </c>
      <c r="E38" s="8">
        <f t="shared" si="8"/>
        <v>0</v>
      </c>
      <c r="F38" s="10"/>
      <c r="G38" s="10"/>
      <c r="H38" s="10"/>
      <c r="I38" s="10"/>
      <c r="J38" s="14" t="e">
        <f t="shared" si="1"/>
        <v>#DIV/0!</v>
      </c>
      <c r="K38" s="4"/>
    </row>
    <row r="39" spans="1:11" ht="18" customHeight="1" hidden="1">
      <c r="A39" s="17" t="s">
        <v>591</v>
      </c>
      <c r="B39" s="10"/>
      <c r="C39" s="15"/>
      <c r="D39" s="8">
        <f t="shared" si="7"/>
        <v>0</v>
      </c>
      <c r="E39" s="8">
        <f t="shared" si="8"/>
        <v>0</v>
      </c>
      <c r="F39" s="10"/>
      <c r="G39" s="10"/>
      <c r="H39" s="10"/>
      <c r="I39" s="10"/>
      <c r="J39" s="14" t="e">
        <f t="shared" si="1"/>
        <v>#DIV/0!</v>
      </c>
      <c r="K39" s="4"/>
    </row>
    <row r="40" spans="1:11" ht="18" customHeight="1">
      <c r="A40" s="17" t="s">
        <v>592</v>
      </c>
      <c r="B40" s="10"/>
      <c r="C40" s="15"/>
      <c r="D40" s="8">
        <f t="shared" si="7"/>
        <v>0</v>
      </c>
      <c r="E40" s="23">
        <f t="shared" si="8"/>
        <v>0</v>
      </c>
      <c r="F40" s="68"/>
      <c r="G40" s="68"/>
      <c r="H40" s="68"/>
      <c r="I40" s="68"/>
      <c r="J40" s="63" t="e">
        <f t="shared" si="1"/>
        <v>#DIV/0!</v>
      </c>
      <c r="K40" s="4"/>
    </row>
    <row r="41" spans="1:11" ht="18" customHeight="1" hidden="1">
      <c r="A41" s="17" t="s">
        <v>585</v>
      </c>
      <c r="B41" s="10"/>
      <c r="C41" s="15"/>
      <c r="D41" s="8">
        <f t="shared" si="7"/>
        <v>0</v>
      </c>
      <c r="E41" s="8">
        <f t="shared" si="8"/>
        <v>0</v>
      </c>
      <c r="F41" s="10"/>
      <c r="G41" s="10"/>
      <c r="H41" s="10"/>
      <c r="I41" s="10"/>
      <c r="J41" s="14" t="e">
        <f t="shared" si="1"/>
        <v>#DIV/0!</v>
      </c>
      <c r="K41" s="4"/>
    </row>
    <row r="42" spans="1:11" ht="18" customHeight="1">
      <c r="A42" s="17" t="s">
        <v>593</v>
      </c>
      <c r="B42" s="10"/>
      <c r="C42" s="15"/>
      <c r="D42" s="8">
        <f t="shared" si="7"/>
        <v>0</v>
      </c>
      <c r="E42" s="23">
        <f t="shared" si="8"/>
        <v>0</v>
      </c>
      <c r="F42" s="68"/>
      <c r="G42" s="68"/>
      <c r="H42" s="68"/>
      <c r="I42" s="68"/>
      <c r="J42" s="63" t="e">
        <f t="shared" si="1"/>
        <v>#DIV/0!</v>
      </c>
      <c r="K42" s="4"/>
    </row>
    <row r="43" spans="1:11" ht="18" customHeight="1">
      <c r="A43" s="17" t="s">
        <v>575</v>
      </c>
      <c r="B43" s="10"/>
      <c r="C43" s="15"/>
      <c r="D43" s="8">
        <f t="shared" si="7"/>
        <v>0</v>
      </c>
      <c r="E43" s="8">
        <f t="shared" si="8"/>
        <v>0</v>
      </c>
      <c r="F43" s="10"/>
      <c r="G43" s="10"/>
      <c r="H43" s="10"/>
      <c r="I43" s="10"/>
      <c r="J43" s="14" t="e">
        <f t="shared" si="1"/>
        <v>#DIV/0!</v>
      </c>
      <c r="K43" s="4"/>
    </row>
    <row r="44" spans="1:11" ht="18" customHeight="1">
      <c r="A44" s="17"/>
      <c r="B44" s="10"/>
      <c r="C44" s="15"/>
      <c r="D44" s="8">
        <f t="shared" si="7"/>
        <v>0</v>
      </c>
      <c r="E44" s="8">
        <f t="shared" si="8"/>
        <v>0</v>
      </c>
      <c r="F44" s="10"/>
      <c r="G44" s="10"/>
      <c r="H44" s="10"/>
      <c r="I44" s="10"/>
      <c r="J44" s="14" t="e">
        <f t="shared" si="1"/>
        <v>#DIV/0!</v>
      </c>
      <c r="K44" s="4"/>
    </row>
    <row r="45" spans="1:11" ht="18" customHeight="1">
      <c r="A45" s="4"/>
      <c r="B45" s="11"/>
      <c r="C45" s="12" t="s">
        <v>594</v>
      </c>
      <c r="D45" s="4"/>
      <c r="E45" s="4"/>
      <c r="F45" s="11"/>
      <c r="G45" s="21" t="s">
        <v>595</v>
      </c>
      <c r="H45" s="4"/>
      <c r="I45" s="4"/>
      <c r="J45" s="4"/>
      <c r="K45" s="4"/>
    </row>
  </sheetData>
  <sheetProtection/>
  <mergeCells count="7">
    <mergeCell ref="A1:K1"/>
    <mergeCell ref="B2:D2"/>
    <mergeCell ref="B3:D3"/>
    <mergeCell ref="E3:I3"/>
    <mergeCell ref="A3:A4"/>
    <mergeCell ref="J3:J4"/>
    <mergeCell ref="K3:K4"/>
  </mergeCells>
  <printOptions/>
  <pageMargins left="1.06" right="0.2" top="0.47" bottom="0.35" header="0.25" footer="0.18"/>
  <pageSetup fitToHeight="1" fitToWidth="1" horizontalDpi="300" verticalDpi="300" orientation="landscape" paperSize="9" scale="76"/>
  <legacyDrawing r:id="rId2"/>
</worksheet>
</file>

<file path=xl/worksheets/sheet14.xml><?xml version="1.0" encoding="utf-8"?>
<worksheet xmlns="http://schemas.openxmlformats.org/spreadsheetml/2006/main" xmlns:r="http://schemas.openxmlformats.org/officeDocument/2006/relationships">
  <dimension ref="A1:K14"/>
  <sheetViews>
    <sheetView workbookViewId="0" topLeftCell="A1">
      <selection activeCell="C13" sqref="C13"/>
    </sheetView>
  </sheetViews>
  <sheetFormatPr defaultColWidth="9.140625" defaultRowHeight="12.75"/>
  <cols>
    <col min="1" max="1" width="27.8515625" style="0" customWidth="1"/>
    <col min="2" max="4" width="13.28125" style="0" customWidth="1"/>
    <col min="5" max="5" width="16.7109375" style="0" customWidth="1"/>
    <col min="6" max="9" width="14.00390625" style="0" customWidth="1"/>
    <col min="10" max="10" width="11.421875" style="0" customWidth="1"/>
    <col min="11" max="11" width="9.421875" style="0" customWidth="1"/>
  </cols>
  <sheetData>
    <row r="1" spans="1:11" ht="27" customHeight="1">
      <c r="A1" s="16" t="s">
        <v>596</v>
      </c>
      <c r="B1" s="16" t="s">
        <v>596</v>
      </c>
      <c r="C1" s="16" t="s">
        <v>596</v>
      </c>
      <c r="D1" s="16" t="s">
        <v>596</v>
      </c>
      <c r="E1" s="16" t="s">
        <v>596</v>
      </c>
      <c r="F1" s="16" t="s">
        <v>596</v>
      </c>
      <c r="G1" s="16" t="s">
        <v>596</v>
      </c>
      <c r="H1" s="16" t="s">
        <v>596</v>
      </c>
      <c r="I1" s="16" t="s">
        <v>596</v>
      </c>
      <c r="J1" s="16" t="s">
        <v>596</v>
      </c>
      <c r="K1" s="16" t="s">
        <v>596</v>
      </c>
    </row>
    <row r="2" spans="1:11" ht="18" customHeight="1">
      <c r="A2" s="4" t="s">
        <v>272</v>
      </c>
      <c r="B2" s="3"/>
      <c r="C2" s="3"/>
      <c r="D2" s="3"/>
      <c r="E2" s="4"/>
      <c r="F2" s="4" t="s">
        <v>273</v>
      </c>
      <c r="G2" s="4"/>
      <c r="H2" s="4"/>
      <c r="I2" s="4"/>
      <c r="J2" s="11" t="s">
        <v>597</v>
      </c>
      <c r="K2" s="4"/>
    </row>
    <row r="3" spans="1:11" ht="18" customHeight="1">
      <c r="A3" s="13" t="s">
        <v>276</v>
      </c>
      <c r="B3" s="6" t="s">
        <v>314</v>
      </c>
      <c r="C3" s="6" t="s">
        <v>314</v>
      </c>
      <c r="D3" s="6" t="s">
        <v>314</v>
      </c>
      <c r="E3" s="6" t="s">
        <v>278</v>
      </c>
      <c r="F3" s="6" t="s">
        <v>278</v>
      </c>
      <c r="G3" s="6" t="s">
        <v>278</v>
      </c>
      <c r="H3" s="6" t="s">
        <v>278</v>
      </c>
      <c r="I3" s="6" t="s">
        <v>278</v>
      </c>
      <c r="J3" s="6" t="s">
        <v>279</v>
      </c>
      <c r="K3" s="6" t="s">
        <v>36</v>
      </c>
    </row>
    <row r="4" spans="1:11" ht="18" customHeight="1">
      <c r="A4" s="13" t="s">
        <v>276</v>
      </c>
      <c r="B4" s="6" t="s">
        <v>280</v>
      </c>
      <c r="C4" s="6" t="s">
        <v>281</v>
      </c>
      <c r="D4" s="6" t="s">
        <v>427</v>
      </c>
      <c r="E4" s="6" t="s">
        <v>296</v>
      </c>
      <c r="F4" s="6" t="s">
        <v>306</v>
      </c>
      <c r="G4" s="6" t="s">
        <v>307</v>
      </c>
      <c r="H4" s="6" t="s">
        <v>308</v>
      </c>
      <c r="I4" s="6" t="s">
        <v>309</v>
      </c>
      <c r="J4" s="6" t="s">
        <v>279</v>
      </c>
      <c r="K4" s="6" t="s">
        <v>36</v>
      </c>
    </row>
    <row r="5" spans="1:11" ht="18" customHeight="1">
      <c r="A5" s="17" t="s">
        <v>598</v>
      </c>
      <c r="B5" s="8">
        <f>B6-B10</f>
        <v>0</v>
      </c>
      <c r="C5" s="8">
        <f aca="true" t="shared" si="0" ref="C5:I5">C6-C10</f>
        <v>-194174.76</v>
      </c>
      <c r="D5" s="8">
        <f t="shared" si="0"/>
        <v>-194174.76</v>
      </c>
      <c r="E5" s="8">
        <f t="shared" si="0"/>
        <v>0</v>
      </c>
      <c r="F5" s="8">
        <f t="shared" si="0"/>
        <v>0</v>
      </c>
      <c r="G5" s="8">
        <f t="shared" si="0"/>
        <v>0</v>
      </c>
      <c r="H5" s="8">
        <f t="shared" si="0"/>
        <v>0</v>
      </c>
      <c r="I5" s="8">
        <f t="shared" si="0"/>
        <v>0</v>
      </c>
      <c r="J5" s="14">
        <f>E5/D5</f>
        <v>0</v>
      </c>
      <c r="K5" s="4"/>
    </row>
    <row r="6" spans="1:11" ht="18" customHeight="1">
      <c r="A6" s="17" t="s">
        <v>599</v>
      </c>
      <c r="B6" s="8">
        <f>SUM(B7:B9)</f>
        <v>0</v>
      </c>
      <c r="C6" s="8">
        <f aca="true" t="shared" si="1" ref="C6:I6">SUM(C7:C9)</f>
        <v>1233109.96</v>
      </c>
      <c r="D6" s="8">
        <f t="shared" si="1"/>
        <v>1233109.96</v>
      </c>
      <c r="E6" s="8">
        <f t="shared" si="1"/>
        <v>0</v>
      </c>
      <c r="F6" s="8">
        <f t="shared" si="1"/>
        <v>0</v>
      </c>
      <c r="G6" s="8">
        <f t="shared" si="1"/>
        <v>0</v>
      </c>
      <c r="H6" s="8">
        <f t="shared" si="1"/>
        <v>0</v>
      </c>
      <c r="I6" s="8">
        <f t="shared" si="1"/>
        <v>0</v>
      </c>
      <c r="J6" s="14">
        <f aca="true" t="shared" si="2" ref="J6:J13">E6/D6</f>
        <v>0</v>
      </c>
      <c r="K6" s="4"/>
    </row>
    <row r="7" spans="1:11" ht="18" customHeight="1">
      <c r="A7" s="17" t="s">
        <v>600</v>
      </c>
      <c r="B7" s="8"/>
      <c r="C7" s="15"/>
      <c r="D7" s="8">
        <f>B7+C7</f>
        <v>0</v>
      </c>
      <c r="E7" s="8">
        <f>SUM(F7:I7)</f>
        <v>0</v>
      </c>
      <c r="F7" s="10"/>
      <c r="G7" s="10"/>
      <c r="H7" s="10"/>
      <c r="I7" s="10"/>
      <c r="J7" s="14" t="e">
        <f t="shared" si="2"/>
        <v>#DIV/0!</v>
      </c>
      <c r="K7" s="4"/>
    </row>
    <row r="8" spans="1:11" ht="18" customHeight="1">
      <c r="A8" s="17" t="s">
        <v>601</v>
      </c>
      <c r="B8" s="8"/>
      <c r="C8" s="15">
        <v>1233109.96</v>
      </c>
      <c r="D8" s="8">
        <f>B8+C8</f>
        <v>1233109.96</v>
      </c>
      <c r="E8" s="8">
        <f>SUM(F8:I8)</f>
        <v>0</v>
      </c>
      <c r="F8" s="10"/>
      <c r="G8" s="65"/>
      <c r="H8" s="65"/>
      <c r="I8" s="65"/>
      <c r="J8" s="14">
        <f t="shared" si="2"/>
        <v>0</v>
      </c>
      <c r="K8" s="4"/>
    </row>
    <row r="9" spans="1:11" ht="18" customHeight="1">
      <c r="A9" s="17"/>
      <c r="B9" s="8"/>
      <c r="C9" s="15"/>
      <c r="D9" s="8">
        <f>B9+C9</f>
        <v>0</v>
      </c>
      <c r="E9" s="8">
        <f>SUM(F9:I9)</f>
        <v>0</v>
      </c>
      <c r="F9" s="10"/>
      <c r="G9" s="10"/>
      <c r="H9" s="10"/>
      <c r="I9" s="10"/>
      <c r="J9" s="14" t="e">
        <f t="shared" si="2"/>
        <v>#DIV/0!</v>
      </c>
      <c r="K9" s="4"/>
    </row>
    <row r="10" spans="1:11" ht="18" customHeight="1">
      <c r="A10" s="17" t="s">
        <v>602</v>
      </c>
      <c r="B10" s="8">
        <f>SUM(B11:B13)</f>
        <v>0</v>
      </c>
      <c r="C10" s="8">
        <f aca="true" t="shared" si="3" ref="C10:I10">SUM(C11:C13)</f>
        <v>1427284.72</v>
      </c>
      <c r="D10" s="8">
        <f t="shared" si="3"/>
        <v>1427284.72</v>
      </c>
      <c r="E10" s="8">
        <f t="shared" si="3"/>
        <v>0</v>
      </c>
      <c r="F10" s="8">
        <f t="shared" si="3"/>
        <v>0</v>
      </c>
      <c r="G10" s="8">
        <f t="shared" si="3"/>
        <v>0</v>
      </c>
      <c r="H10" s="8">
        <f t="shared" si="3"/>
        <v>0</v>
      </c>
      <c r="I10" s="8">
        <f t="shared" si="3"/>
        <v>0</v>
      </c>
      <c r="J10" s="14">
        <f t="shared" si="2"/>
        <v>0</v>
      </c>
      <c r="K10" s="4"/>
    </row>
    <row r="11" spans="1:11" ht="18" customHeight="1">
      <c r="A11" s="17" t="s">
        <v>603</v>
      </c>
      <c r="B11" s="8"/>
      <c r="C11" s="15"/>
      <c r="D11" s="8">
        <f>B11+C11</f>
        <v>0</v>
      </c>
      <c r="E11" s="8">
        <f>SUM(F11:I11)</f>
        <v>0</v>
      </c>
      <c r="F11" s="10"/>
      <c r="G11" s="10"/>
      <c r="H11" s="10"/>
      <c r="I11" s="10"/>
      <c r="J11" s="14" t="e">
        <f t="shared" si="2"/>
        <v>#DIV/0!</v>
      </c>
      <c r="K11" s="4"/>
    </row>
    <row r="12" spans="1:11" ht="18" customHeight="1">
      <c r="A12" s="17" t="s">
        <v>604</v>
      </c>
      <c r="B12" s="8"/>
      <c r="C12" s="15">
        <v>1427284.72</v>
      </c>
      <c r="D12" s="8">
        <f>B12+C12</f>
        <v>1427284.72</v>
      </c>
      <c r="E12" s="8">
        <f>SUM(F12:I12)</f>
        <v>0</v>
      </c>
      <c r="F12" s="15"/>
      <c r="G12" s="65"/>
      <c r="H12" s="65"/>
      <c r="I12" s="65"/>
      <c r="J12" s="14">
        <f t="shared" si="2"/>
        <v>0</v>
      </c>
      <c r="K12" s="4"/>
    </row>
    <row r="13" spans="1:11" ht="18" customHeight="1">
      <c r="A13" s="17"/>
      <c r="B13" s="8"/>
      <c r="C13" s="15"/>
      <c r="D13" s="8">
        <f>B13+C13</f>
        <v>0</v>
      </c>
      <c r="E13" s="8">
        <f>SUM(F13:I13)</f>
        <v>0</v>
      </c>
      <c r="F13" s="10"/>
      <c r="G13" s="10"/>
      <c r="H13" s="10"/>
      <c r="I13" s="10"/>
      <c r="J13" s="14" t="e">
        <f t="shared" si="2"/>
        <v>#DIV/0!</v>
      </c>
      <c r="K13" s="4"/>
    </row>
    <row r="14" spans="1:11" ht="18" customHeight="1">
      <c r="A14" s="4"/>
      <c r="B14" s="11"/>
      <c r="C14" s="12" t="s">
        <v>310</v>
      </c>
      <c r="D14" s="4"/>
      <c r="E14" s="4"/>
      <c r="F14" s="11"/>
      <c r="G14" s="21" t="s">
        <v>328</v>
      </c>
      <c r="H14" s="4"/>
      <c r="I14" s="4"/>
      <c r="J14" s="4"/>
      <c r="K14" s="4"/>
    </row>
  </sheetData>
  <sheetProtection/>
  <mergeCells count="7">
    <mergeCell ref="A1:K1"/>
    <mergeCell ref="B2:D2"/>
    <mergeCell ref="B3:D3"/>
    <mergeCell ref="E3:I3"/>
    <mergeCell ref="A3:A4"/>
    <mergeCell ref="J3:J4"/>
    <mergeCell ref="K3:K4"/>
  </mergeCells>
  <printOptions/>
  <pageMargins left="0.75" right="0.75" top="0.98" bottom="0.98" header="0.51" footer="0.51"/>
  <pageSetup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N37"/>
  <sheetViews>
    <sheetView workbookViewId="0" topLeftCell="A11">
      <selection activeCell="E34" sqref="E34"/>
    </sheetView>
  </sheetViews>
  <sheetFormatPr defaultColWidth="9.140625" defaultRowHeight="12.75"/>
  <cols>
    <col min="1" max="1" width="28.28125" style="58" customWidth="1"/>
    <col min="2" max="4" width="13.00390625" style="58" customWidth="1"/>
    <col min="5" max="5" width="15.00390625" style="58" customWidth="1"/>
    <col min="6" max="9" width="15.57421875" style="58" customWidth="1"/>
    <col min="10" max="10" width="11.28125" style="58" customWidth="1"/>
    <col min="11" max="11" width="24.140625" style="58" customWidth="1"/>
    <col min="12" max="13" width="9.140625" style="58" customWidth="1"/>
    <col min="14" max="14" width="12.28125" style="58" bestFit="1" customWidth="1"/>
    <col min="15" max="16384" width="9.140625" style="58" customWidth="1"/>
  </cols>
  <sheetData>
    <row r="1" spans="1:11" ht="21.75" customHeight="1">
      <c r="A1" s="59" t="s">
        <v>605</v>
      </c>
      <c r="B1" s="59"/>
      <c r="C1" s="59"/>
      <c r="D1" s="59"/>
      <c r="E1" s="59" t="s">
        <v>605</v>
      </c>
      <c r="F1" s="59" t="s">
        <v>605</v>
      </c>
      <c r="G1" s="59" t="s">
        <v>605</v>
      </c>
      <c r="H1" s="59" t="s">
        <v>605</v>
      </c>
      <c r="I1" s="59" t="s">
        <v>605</v>
      </c>
      <c r="J1" s="59" t="s">
        <v>605</v>
      </c>
      <c r="K1" s="59" t="s">
        <v>605</v>
      </c>
    </row>
    <row r="2" spans="1:11" ht="18" customHeight="1">
      <c r="A2" s="60" t="s">
        <v>272</v>
      </c>
      <c r="B2" s="3"/>
      <c r="C2" s="3"/>
      <c r="D2" s="3"/>
      <c r="E2" s="60"/>
      <c r="F2" s="60"/>
      <c r="G2" s="60" t="s">
        <v>273</v>
      </c>
      <c r="H2" s="60"/>
      <c r="I2" s="60"/>
      <c r="J2" s="62" t="s">
        <v>606</v>
      </c>
      <c r="K2" s="60"/>
    </row>
    <row r="3" spans="1:11" ht="18" customHeight="1">
      <c r="A3" s="61" t="s">
        <v>276</v>
      </c>
      <c r="B3" s="6" t="s">
        <v>314</v>
      </c>
      <c r="C3" s="6" t="s">
        <v>314</v>
      </c>
      <c r="D3" s="6" t="s">
        <v>314</v>
      </c>
      <c r="E3" s="6" t="s">
        <v>278</v>
      </c>
      <c r="F3" s="6" t="s">
        <v>278</v>
      </c>
      <c r="G3" s="6" t="s">
        <v>278</v>
      </c>
      <c r="H3" s="6" t="s">
        <v>278</v>
      </c>
      <c r="I3" s="6" t="s">
        <v>278</v>
      </c>
      <c r="J3" s="6" t="s">
        <v>279</v>
      </c>
      <c r="K3" s="6" t="s">
        <v>36</v>
      </c>
    </row>
    <row r="4" spans="1:11" ht="18" customHeight="1">
      <c r="A4" s="61" t="s">
        <v>276</v>
      </c>
      <c r="B4" s="6" t="s">
        <v>280</v>
      </c>
      <c r="C4" s="6" t="s">
        <v>281</v>
      </c>
      <c r="D4" s="6" t="s">
        <v>427</v>
      </c>
      <c r="E4" s="6" t="s">
        <v>296</v>
      </c>
      <c r="F4" s="6" t="s">
        <v>306</v>
      </c>
      <c r="G4" s="6" t="s">
        <v>307</v>
      </c>
      <c r="H4" s="6" t="s">
        <v>308</v>
      </c>
      <c r="I4" s="6" t="s">
        <v>309</v>
      </c>
      <c r="J4" s="6" t="s">
        <v>279</v>
      </c>
      <c r="K4" s="6" t="s">
        <v>36</v>
      </c>
    </row>
    <row r="5" spans="1:11" ht="18" customHeight="1">
      <c r="A5" s="60" t="s">
        <v>607</v>
      </c>
      <c r="B5" s="8">
        <f>SUM(B6:B15)</f>
        <v>9060831.4</v>
      </c>
      <c r="C5" s="8">
        <f>SUM(C6:C15)</f>
        <v>-667568</v>
      </c>
      <c r="D5" s="8">
        <f>B5+C5</f>
        <v>8393263.4</v>
      </c>
      <c r="E5" s="23">
        <f aca="true" t="shared" si="0" ref="C5:I5">SUM(E6:E15)</f>
        <v>7220085.2</v>
      </c>
      <c r="F5" s="8">
        <f t="shared" si="0"/>
        <v>1615271.3</v>
      </c>
      <c r="G5" s="8">
        <f t="shared" si="0"/>
        <v>2012771.3</v>
      </c>
      <c r="H5" s="8">
        <f t="shared" si="0"/>
        <v>1502771.3</v>
      </c>
      <c r="I5" s="8">
        <f t="shared" si="0"/>
        <v>2089271.3</v>
      </c>
      <c r="J5" s="63">
        <f>E5/D5</f>
        <v>0.8602238314122251</v>
      </c>
      <c r="K5" s="60"/>
    </row>
    <row r="6" spans="1:11" ht="18" customHeight="1">
      <c r="A6" s="60" t="s">
        <v>608</v>
      </c>
      <c r="B6" s="23"/>
      <c r="C6" s="20"/>
      <c r="D6" s="8">
        <f>B6+C6</f>
        <v>0</v>
      </c>
      <c r="E6" s="23">
        <f>SUM(F6:I6)</f>
        <v>0</v>
      </c>
      <c r="F6" s="57"/>
      <c r="G6" s="57"/>
      <c r="H6" s="57"/>
      <c r="I6" s="57"/>
      <c r="J6" s="63" t="e">
        <f aca="true" t="shared" si="1" ref="J6:J36">E6/D6</f>
        <v>#DIV/0!</v>
      </c>
      <c r="K6" s="60"/>
    </row>
    <row r="7" spans="1:11" ht="18" customHeight="1">
      <c r="A7" s="60" t="s">
        <v>609</v>
      </c>
      <c r="B7" s="23">
        <v>24350</v>
      </c>
      <c r="C7" s="20"/>
      <c r="D7" s="8">
        <f aca="true" t="shared" si="2" ref="D7:D36">B7+C7</f>
        <v>24350</v>
      </c>
      <c r="E7" s="23">
        <f aca="true" t="shared" si="3" ref="E7:E36">SUM(F7:I7)</f>
        <v>0</v>
      </c>
      <c r="F7" s="57"/>
      <c r="G7" s="57"/>
      <c r="H7" s="57"/>
      <c r="I7" s="57"/>
      <c r="J7" s="63">
        <f t="shared" si="1"/>
        <v>0</v>
      </c>
      <c r="K7" s="60"/>
    </row>
    <row r="8" spans="1:11" ht="18" customHeight="1">
      <c r="A8" s="60" t="s">
        <v>610</v>
      </c>
      <c r="B8" s="23"/>
      <c r="C8" s="20"/>
      <c r="D8" s="8">
        <f t="shared" si="2"/>
        <v>0</v>
      </c>
      <c r="E8" s="23">
        <f t="shared" si="3"/>
        <v>0</v>
      </c>
      <c r="F8" s="57"/>
      <c r="G8" s="57"/>
      <c r="H8" s="57"/>
      <c r="I8" s="57"/>
      <c r="J8" s="63" t="e">
        <f t="shared" si="1"/>
        <v>#DIV/0!</v>
      </c>
      <c r="K8" s="60"/>
    </row>
    <row r="9" spans="1:11" ht="18" customHeight="1">
      <c r="A9" s="60" t="s">
        <v>611</v>
      </c>
      <c r="B9" s="23"/>
      <c r="C9" s="20"/>
      <c r="D9" s="8">
        <f t="shared" si="2"/>
        <v>0</v>
      </c>
      <c r="E9" s="23">
        <f t="shared" si="3"/>
        <v>0</v>
      </c>
      <c r="F9" s="57"/>
      <c r="G9" s="57"/>
      <c r="H9" s="57"/>
      <c r="I9" s="57"/>
      <c r="J9" s="63" t="e">
        <f t="shared" si="1"/>
        <v>#DIV/0!</v>
      </c>
      <c r="K9" s="60"/>
    </row>
    <row r="10" spans="1:11" ht="18" customHeight="1">
      <c r="A10" s="60" t="s">
        <v>612</v>
      </c>
      <c r="B10" s="23"/>
      <c r="C10" s="20"/>
      <c r="D10" s="8">
        <f t="shared" si="2"/>
        <v>0</v>
      </c>
      <c r="E10" s="23">
        <f t="shared" si="3"/>
        <v>0</v>
      </c>
      <c r="F10" s="57"/>
      <c r="G10" s="57"/>
      <c r="H10" s="57"/>
      <c r="I10" s="57"/>
      <c r="J10" s="63" t="e">
        <f t="shared" si="1"/>
        <v>#DIV/0!</v>
      </c>
      <c r="K10" s="60"/>
    </row>
    <row r="11" spans="1:11" ht="18" customHeight="1">
      <c r="A11" s="60" t="s">
        <v>613</v>
      </c>
      <c r="B11" s="23">
        <f>197397.41+8615579.21</f>
        <v>8812976.620000001</v>
      </c>
      <c r="C11" s="20">
        <v>-700000</v>
      </c>
      <c r="D11" s="8">
        <f t="shared" si="2"/>
        <v>8112976.620000001</v>
      </c>
      <c r="E11" s="23">
        <f t="shared" si="3"/>
        <v>7020085.2</v>
      </c>
      <c r="F11" s="20">
        <f>1484371.3+80900</f>
        <v>1565271.3</v>
      </c>
      <c r="G11" s="20">
        <f>1881871.3+80900</f>
        <v>1962771.3</v>
      </c>
      <c r="H11" s="20">
        <f>1371871.3+80900</f>
        <v>1452771.3</v>
      </c>
      <c r="I11" s="20">
        <f>1958371.3+80900</f>
        <v>2039271.3</v>
      </c>
      <c r="J11" s="63">
        <f t="shared" si="1"/>
        <v>0.8652909442255978</v>
      </c>
      <c r="K11" s="60" t="s">
        <v>614</v>
      </c>
    </row>
    <row r="12" spans="1:11" ht="18" customHeight="1">
      <c r="A12" s="60" t="s">
        <v>615</v>
      </c>
      <c r="B12" s="23"/>
      <c r="C12" s="20"/>
      <c r="D12" s="8">
        <f t="shared" si="2"/>
        <v>0</v>
      </c>
      <c r="E12" s="23">
        <f t="shared" si="3"/>
        <v>0</v>
      </c>
      <c r="F12" s="57"/>
      <c r="G12" s="57"/>
      <c r="H12" s="57"/>
      <c r="I12" s="57"/>
      <c r="J12" s="63" t="e">
        <f t="shared" si="1"/>
        <v>#DIV/0!</v>
      </c>
      <c r="K12" s="60"/>
    </row>
    <row r="13" spans="1:11" ht="18" customHeight="1">
      <c r="A13" s="60" t="s">
        <v>616</v>
      </c>
      <c r="B13" s="23"/>
      <c r="C13" s="20"/>
      <c r="D13" s="8">
        <f t="shared" si="2"/>
        <v>0</v>
      </c>
      <c r="E13" s="23">
        <f t="shared" si="3"/>
        <v>0</v>
      </c>
      <c r="F13" s="57"/>
      <c r="G13" s="57"/>
      <c r="H13" s="57"/>
      <c r="I13" s="57"/>
      <c r="J13" s="63" t="e">
        <f t="shared" si="1"/>
        <v>#DIV/0!</v>
      </c>
      <c r="K13" s="60"/>
    </row>
    <row r="14" spans="1:11" ht="18" customHeight="1">
      <c r="A14" s="60" t="s">
        <v>617</v>
      </c>
      <c r="B14" s="23">
        <v>181524.1</v>
      </c>
      <c r="C14" s="20">
        <f>15082+6000</f>
        <v>21082</v>
      </c>
      <c r="D14" s="8">
        <f t="shared" si="2"/>
        <v>202606.1</v>
      </c>
      <c r="E14" s="23">
        <f t="shared" si="3"/>
        <v>200000</v>
      </c>
      <c r="F14" s="20">
        <v>50000</v>
      </c>
      <c r="G14" s="20">
        <v>50000</v>
      </c>
      <c r="H14" s="20">
        <v>50000</v>
      </c>
      <c r="I14" s="20">
        <v>50000</v>
      </c>
      <c r="J14" s="63">
        <f t="shared" si="1"/>
        <v>0.9871371098895837</v>
      </c>
      <c r="K14" s="60"/>
    </row>
    <row r="15" spans="1:11" ht="18" customHeight="1">
      <c r="A15" s="60" t="s">
        <v>618</v>
      </c>
      <c r="B15" s="23">
        <v>41980.68</v>
      </c>
      <c r="C15" s="20">
        <f>9350+2000</f>
        <v>11350</v>
      </c>
      <c r="D15" s="8">
        <f t="shared" si="2"/>
        <v>53330.68</v>
      </c>
      <c r="E15" s="23">
        <f t="shared" si="3"/>
        <v>0</v>
      </c>
      <c r="F15" s="57"/>
      <c r="G15" s="57"/>
      <c r="H15" s="57"/>
      <c r="I15" s="57"/>
      <c r="J15" s="63">
        <f t="shared" si="1"/>
        <v>0</v>
      </c>
      <c r="K15" s="60"/>
    </row>
    <row r="16" spans="1:14" ht="18" customHeight="1">
      <c r="A16" s="60" t="s">
        <v>619</v>
      </c>
      <c r="B16" s="23">
        <f aca="true" t="shared" si="4" ref="B16:I16">SUM(B17:B28)+B36</f>
        <v>4554224.06</v>
      </c>
      <c r="C16" s="23">
        <f t="shared" si="4"/>
        <v>346308.46</v>
      </c>
      <c r="D16" s="23">
        <f t="shared" si="4"/>
        <v>4900532.52</v>
      </c>
      <c r="E16" s="23">
        <f t="shared" si="4"/>
        <v>1486485.2000000002</v>
      </c>
      <c r="F16" s="23">
        <f t="shared" si="4"/>
        <v>179371.3</v>
      </c>
      <c r="G16" s="23">
        <f t="shared" si="4"/>
        <v>576871.3</v>
      </c>
      <c r="H16" s="23">
        <f t="shared" si="4"/>
        <v>76871.3</v>
      </c>
      <c r="I16" s="23">
        <f t="shared" si="4"/>
        <v>653371.3</v>
      </c>
      <c r="J16" s="63">
        <f t="shared" si="1"/>
        <v>0.30333136122112714</v>
      </c>
      <c r="K16" s="60"/>
      <c r="N16" s="64"/>
    </row>
    <row r="17" spans="1:11" ht="18" customHeight="1">
      <c r="A17" s="60" t="s">
        <v>620</v>
      </c>
      <c r="B17" s="23">
        <v>21525.02</v>
      </c>
      <c r="C17" s="23"/>
      <c r="D17" s="23">
        <f t="shared" si="2"/>
        <v>21525.02</v>
      </c>
      <c r="E17" s="23">
        <f t="shared" si="3"/>
        <v>0</v>
      </c>
      <c r="F17" s="57"/>
      <c r="G17" s="57"/>
      <c r="H17" s="57"/>
      <c r="I17" s="57"/>
      <c r="J17" s="63">
        <f t="shared" si="1"/>
        <v>0</v>
      </c>
      <c r="K17" s="60"/>
    </row>
    <row r="18" spans="1:11" ht="18" customHeight="1">
      <c r="A18" s="60" t="s">
        <v>621</v>
      </c>
      <c r="B18" s="23"/>
      <c r="C18" s="23"/>
      <c r="D18" s="23">
        <f t="shared" si="2"/>
        <v>0</v>
      </c>
      <c r="E18" s="23">
        <f t="shared" si="3"/>
        <v>0</v>
      </c>
      <c r="F18" s="57"/>
      <c r="G18" s="57"/>
      <c r="H18" s="57"/>
      <c r="I18" s="57"/>
      <c r="J18" s="63" t="e">
        <f t="shared" si="1"/>
        <v>#DIV/0!</v>
      </c>
      <c r="K18" s="60"/>
    </row>
    <row r="19" spans="1:11" ht="18" customHeight="1">
      <c r="A19" s="60" t="s">
        <v>622</v>
      </c>
      <c r="B19" s="23"/>
      <c r="C19" s="23"/>
      <c r="D19" s="23">
        <f t="shared" si="2"/>
        <v>0</v>
      </c>
      <c r="E19" s="23">
        <f t="shared" si="3"/>
        <v>0</v>
      </c>
      <c r="F19" s="57"/>
      <c r="G19" s="57"/>
      <c r="H19" s="57"/>
      <c r="I19" s="57"/>
      <c r="J19" s="63" t="e">
        <f t="shared" si="1"/>
        <v>#DIV/0!</v>
      </c>
      <c r="K19" s="60"/>
    </row>
    <row r="20" spans="1:11" ht="18" customHeight="1">
      <c r="A20" s="60" t="s">
        <v>623</v>
      </c>
      <c r="B20" s="23"/>
      <c r="C20" s="23"/>
      <c r="D20" s="23">
        <f t="shared" si="2"/>
        <v>0</v>
      </c>
      <c r="E20" s="23">
        <f t="shared" si="3"/>
        <v>0</v>
      </c>
      <c r="F20" s="57"/>
      <c r="G20" s="57"/>
      <c r="H20" s="57"/>
      <c r="I20" s="57"/>
      <c r="J20" s="63" t="e">
        <f t="shared" si="1"/>
        <v>#DIV/0!</v>
      </c>
      <c r="K20" s="60"/>
    </row>
    <row r="21" spans="1:11" ht="18" customHeight="1">
      <c r="A21" s="60" t="s">
        <v>624</v>
      </c>
      <c r="B21" s="23"/>
      <c r="C21" s="23"/>
      <c r="D21" s="23">
        <f t="shared" si="2"/>
        <v>0</v>
      </c>
      <c r="E21" s="23">
        <f t="shared" si="3"/>
        <v>0</v>
      </c>
      <c r="F21" s="57"/>
      <c r="G21" s="57"/>
      <c r="H21" s="57"/>
      <c r="I21" s="57"/>
      <c r="J21" s="63" t="e">
        <f t="shared" si="1"/>
        <v>#DIV/0!</v>
      </c>
      <c r="K21" s="60"/>
    </row>
    <row r="22" spans="1:11" ht="18" customHeight="1">
      <c r="A22" s="60" t="s">
        <v>625</v>
      </c>
      <c r="B22" s="23"/>
      <c r="C22" s="23"/>
      <c r="D22" s="23">
        <f t="shared" si="2"/>
        <v>0</v>
      </c>
      <c r="E22" s="23">
        <f t="shared" si="3"/>
        <v>0</v>
      </c>
      <c r="F22" s="57"/>
      <c r="G22" s="57"/>
      <c r="H22" s="57"/>
      <c r="I22" s="57"/>
      <c r="J22" s="63" t="e">
        <f t="shared" si="1"/>
        <v>#DIV/0!</v>
      </c>
      <c r="K22" s="60"/>
    </row>
    <row r="23" spans="1:11" ht="18" customHeight="1">
      <c r="A23" s="60" t="s">
        <v>626</v>
      </c>
      <c r="B23" s="23"/>
      <c r="C23" s="23"/>
      <c r="D23" s="23">
        <f t="shared" si="2"/>
        <v>0</v>
      </c>
      <c r="E23" s="23">
        <f t="shared" si="3"/>
        <v>0</v>
      </c>
      <c r="F23" s="57"/>
      <c r="G23" s="57"/>
      <c r="H23" s="57"/>
      <c r="I23" s="57"/>
      <c r="J23" s="63" t="e">
        <f t="shared" si="1"/>
        <v>#DIV/0!</v>
      </c>
      <c r="K23" s="60"/>
    </row>
    <row r="24" spans="1:11" ht="18" customHeight="1">
      <c r="A24" s="60" t="s">
        <v>627</v>
      </c>
      <c r="B24" s="23">
        <v>1190.74</v>
      </c>
      <c r="C24" s="23"/>
      <c r="D24" s="23">
        <f t="shared" si="2"/>
        <v>1190.74</v>
      </c>
      <c r="E24" s="23">
        <f t="shared" si="3"/>
        <v>0</v>
      </c>
      <c r="F24" s="57"/>
      <c r="G24" s="57"/>
      <c r="H24" s="57"/>
      <c r="I24" s="57"/>
      <c r="J24" s="63">
        <f t="shared" si="1"/>
        <v>0</v>
      </c>
      <c r="K24" s="60"/>
    </row>
    <row r="25" spans="1:11" ht="18" customHeight="1">
      <c r="A25" s="60" t="s">
        <v>628</v>
      </c>
      <c r="B25" s="23"/>
      <c r="C25" s="23"/>
      <c r="D25" s="23">
        <f t="shared" si="2"/>
        <v>0</v>
      </c>
      <c r="E25" s="23">
        <f t="shared" si="3"/>
        <v>0</v>
      </c>
      <c r="F25" s="57"/>
      <c r="G25" s="57"/>
      <c r="H25" s="57"/>
      <c r="I25" s="57"/>
      <c r="J25" s="63" t="e">
        <f t="shared" si="1"/>
        <v>#DIV/0!</v>
      </c>
      <c r="K25" s="60"/>
    </row>
    <row r="26" spans="1:11" ht="18" customHeight="1">
      <c r="A26" s="60" t="s">
        <v>629</v>
      </c>
      <c r="B26" s="23"/>
      <c r="C26" s="23"/>
      <c r="D26" s="23">
        <f t="shared" si="2"/>
        <v>0</v>
      </c>
      <c r="E26" s="23">
        <f t="shared" si="3"/>
        <v>0</v>
      </c>
      <c r="F26" s="57"/>
      <c r="G26" s="57"/>
      <c r="H26" s="57"/>
      <c r="I26" s="57"/>
      <c r="J26" s="63" t="e">
        <f t="shared" si="1"/>
        <v>#DIV/0!</v>
      </c>
      <c r="K26" s="60"/>
    </row>
    <row r="27" spans="1:11" ht="18" customHeight="1">
      <c r="A27" s="60" t="s">
        <v>630</v>
      </c>
      <c r="B27" s="23">
        <v>10000</v>
      </c>
      <c r="C27" s="23"/>
      <c r="D27" s="23">
        <f t="shared" si="2"/>
        <v>10000</v>
      </c>
      <c r="E27" s="23">
        <f t="shared" si="3"/>
        <v>10000</v>
      </c>
      <c r="F27" s="57"/>
      <c r="G27" s="57"/>
      <c r="H27" s="20">
        <v>10000</v>
      </c>
      <c r="I27" s="57"/>
      <c r="J27" s="63">
        <f t="shared" si="1"/>
        <v>1</v>
      </c>
      <c r="K27" s="60" t="s">
        <v>631</v>
      </c>
    </row>
    <row r="28" spans="1:11" ht="18" customHeight="1">
      <c r="A28" s="60" t="s">
        <v>632</v>
      </c>
      <c r="B28" s="23">
        <f>SUM(B29:B35)</f>
        <v>3811649.97</v>
      </c>
      <c r="C28" s="23">
        <f>SUM(C29:C35)</f>
        <v>324270</v>
      </c>
      <c r="D28" s="23">
        <f>SUM(D29:D35)</f>
        <v>4135919.97</v>
      </c>
      <c r="E28" s="23">
        <f aca="true" t="shared" si="5" ref="E28:E36">SUM(F28:I28)</f>
        <v>1476485.2000000002</v>
      </c>
      <c r="F28" s="23">
        <f>SUM(F29:F34)</f>
        <v>179371.3</v>
      </c>
      <c r="G28" s="23">
        <f>SUM(G29:G34)</f>
        <v>576871.3</v>
      </c>
      <c r="H28" s="23">
        <f>SUM(H29:H34)</f>
        <v>66871.3</v>
      </c>
      <c r="I28" s="23">
        <f>SUM(I29:I34)</f>
        <v>653371.3</v>
      </c>
      <c r="J28" s="63">
        <f t="shared" si="1"/>
        <v>0.3569907567626363</v>
      </c>
      <c r="K28" s="60"/>
    </row>
    <row r="29" spans="1:11" ht="18" customHeight="1">
      <c r="A29" s="60" t="s">
        <v>633</v>
      </c>
      <c r="B29" s="23">
        <v>797500</v>
      </c>
      <c r="C29" s="23">
        <v>272500</v>
      </c>
      <c r="D29" s="23">
        <f aca="true" t="shared" si="6" ref="D29:D36">B29+C29</f>
        <v>1070000</v>
      </c>
      <c r="E29" s="23">
        <f t="shared" si="5"/>
        <v>1070000</v>
      </c>
      <c r="F29" s="46"/>
      <c r="G29" s="46">
        <v>535000</v>
      </c>
      <c r="H29" s="46"/>
      <c r="I29" s="46">
        <v>535000</v>
      </c>
      <c r="J29" s="63">
        <f t="shared" si="1"/>
        <v>1</v>
      </c>
      <c r="K29" s="60"/>
    </row>
    <row r="30" spans="1:11" ht="18" customHeight="1">
      <c r="A30" s="60" t="s">
        <v>634</v>
      </c>
      <c r="B30" s="23">
        <v>67005</v>
      </c>
      <c r="C30" s="23">
        <f>14890+7445</f>
        <v>22335</v>
      </c>
      <c r="D30" s="23">
        <f t="shared" si="6"/>
        <v>89340</v>
      </c>
      <c r="E30" s="23">
        <f t="shared" si="5"/>
        <v>89340</v>
      </c>
      <c r="F30" s="20">
        <v>22335</v>
      </c>
      <c r="G30" s="20">
        <v>22335</v>
      </c>
      <c r="H30" s="20">
        <v>22335</v>
      </c>
      <c r="I30" s="20">
        <v>22335</v>
      </c>
      <c r="J30" s="63">
        <f t="shared" si="1"/>
        <v>1</v>
      </c>
      <c r="K30" s="60"/>
    </row>
    <row r="31" spans="1:11" ht="18" customHeight="1">
      <c r="A31" s="60" t="s">
        <v>635</v>
      </c>
      <c r="B31" s="23">
        <v>136149</v>
      </c>
      <c r="C31" s="23">
        <v>9195</v>
      </c>
      <c r="D31" s="23">
        <f t="shared" si="6"/>
        <v>145344</v>
      </c>
      <c r="E31" s="23">
        <f t="shared" si="5"/>
        <v>81145.2</v>
      </c>
      <c r="F31" s="20">
        <v>26036.3</v>
      </c>
      <c r="G31" s="20">
        <v>9536.3</v>
      </c>
      <c r="H31" s="20">
        <v>9536.3</v>
      </c>
      <c r="I31" s="20">
        <v>36036.3</v>
      </c>
      <c r="J31" s="63">
        <f t="shared" si="1"/>
        <v>0.5582975561426684</v>
      </c>
      <c r="K31" s="60"/>
    </row>
    <row r="32" spans="1:11" ht="18" customHeight="1">
      <c r="A32" s="60" t="s">
        <v>636</v>
      </c>
      <c r="B32" s="23">
        <v>32280</v>
      </c>
      <c r="C32" s="23">
        <v>5240</v>
      </c>
      <c r="D32" s="23">
        <f t="shared" si="6"/>
        <v>37520</v>
      </c>
      <c r="E32" s="23">
        <f t="shared" si="5"/>
        <v>50000</v>
      </c>
      <c r="F32" s="20">
        <v>25000</v>
      </c>
      <c r="G32" s="20"/>
      <c r="H32" s="20">
        <v>25000</v>
      </c>
      <c r="I32" s="20"/>
      <c r="J32" s="63">
        <f t="shared" si="1"/>
        <v>1.3326226012793176</v>
      </c>
      <c r="K32" s="60"/>
    </row>
    <row r="33" spans="1:11" ht="18" customHeight="1">
      <c r="A33" s="60" t="s">
        <v>637</v>
      </c>
      <c r="B33" s="23">
        <v>30000</v>
      </c>
      <c r="C33" s="23"/>
      <c r="D33" s="23">
        <f t="shared" si="6"/>
        <v>30000</v>
      </c>
      <c r="E33" s="23">
        <f t="shared" si="5"/>
        <v>40000</v>
      </c>
      <c r="F33" s="20">
        <v>10000</v>
      </c>
      <c r="G33" s="20">
        <v>10000</v>
      </c>
      <c r="H33" s="20">
        <v>10000</v>
      </c>
      <c r="I33" s="20">
        <v>10000</v>
      </c>
      <c r="J33" s="63">
        <f t="shared" si="1"/>
        <v>1.3333333333333333</v>
      </c>
      <c r="K33" s="60"/>
    </row>
    <row r="34" spans="1:11" ht="18" customHeight="1">
      <c r="A34" s="60" t="s">
        <v>638</v>
      </c>
      <c r="B34" s="23"/>
      <c r="C34" s="23">
        <v>15000</v>
      </c>
      <c r="D34" s="23">
        <f t="shared" si="6"/>
        <v>15000</v>
      </c>
      <c r="E34" s="23">
        <f t="shared" si="5"/>
        <v>146000</v>
      </c>
      <c r="F34" s="20">
        <v>96000</v>
      </c>
      <c r="G34" s="20"/>
      <c r="H34" s="20"/>
      <c r="I34" s="20">
        <v>50000</v>
      </c>
      <c r="J34" s="63">
        <f t="shared" si="1"/>
        <v>9.733333333333333</v>
      </c>
      <c r="K34" s="60"/>
    </row>
    <row r="35" spans="1:11" ht="18" customHeight="1">
      <c r="A35" s="60" t="s">
        <v>639</v>
      </c>
      <c r="B35" s="23">
        <v>2748715.97</v>
      </c>
      <c r="C35" s="23"/>
      <c r="D35" s="23">
        <f t="shared" si="6"/>
        <v>2748715.97</v>
      </c>
      <c r="E35" s="23">
        <f t="shared" si="5"/>
        <v>0</v>
      </c>
      <c r="F35" s="20"/>
      <c r="G35" s="20"/>
      <c r="H35" s="20"/>
      <c r="I35" s="20"/>
      <c r="J35" s="63">
        <f t="shared" si="1"/>
        <v>0</v>
      </c>
      <c r="K35" s="60"/>
    </row>
    <row r="36" spans="1:11" ht="18" customHeight="1">
      <c r="A36" s="60" t="s">
        <v>618</v>
      </c>
      <c r="B36" s="23">
        <v>709858.33</v>
      </c>
      <c r="C36" s="23">
        <f>22038.46</f>
        <v>22038.46</v>
      </c>
      <c r="D36" s="23">
        <f t="shared" si="6"/>
        <v>731896.7899999999</v>
      </c>
      <c r="E36" s="23">
        <f t="shared" si="5"/>
        <v>0</v>
      </c>
      <c r="F36" s="20"/>
      <c r="G36" s="20"/>
      <c r="H36" s="20"/>
      <c r="I36" s="20"/>
      <c r="J36" s="63">
        <f t="shared" si="1"/>
        <v>0</v>
      </c>
      <c r="K36" s="60"/>
    </row>
    <row r="37" spans="1:11" ht="18" customHeight="1">
      <c r="A37" s="60"/>
      <c r="B37" s="60"/>
      <c r="C37" s="12" t="s">
        <v>310</v>
      </c>
      <c r="D37" s="4"/>
      <c r="E37" s="4"/>
      <c r="F37" s="11"/>
      <c r="G37" s="3" t="s">
        <v>328</v>
      </c>
      <c r="H37" s="60"/>
      <c r="I37" s="60"/>
      <c r="J37" s="60"/>
      <c r="K37" s="60"/>
    </row>
  </sheetData>
  <sheetProtection/>
  <mergeCells count="7">
    <mergeCell ref="A1:K1"/>
    <mergeCell ref="B2:D2"/>
    <mergeCell ref="B3:D3"/>
    <mergeCell ref="E3:I3"/>
    <mergeCell ref="A3:A4"/>
    <mergeCell ref="J3:J4"/>
    <mergeCell ref="K3:K4"/>
  </mergeCells>
  <printOptions/>
  <pageMargins left="0.39" right="0.31" top="0.23999999999999996" bottom="0.31" header="0.2" footer="0.11999999999999998"/>
  <pageSetup fitToHeight="1" fitToWidth="1" horizontalDpi="300" verticalDpi="300" orientation="landscape" paperSize="9" scale="72"/>
</worksheet>
</file>

<file path=xl/worksheets/sheet16.xml><?xml version="1.0" encoding="utf-8"?>
<worksheet xmlns="http://schemas.openxmlformats.org/spreadsheetml/2006/main" xmlns:r="http://schemas.openxmlformats.org/officeDocument/2006/relationships">
  <sheetPr>
    <pageSetUpPr fitToPage="1"/>
  </sheetPr>
  <dimension ref="A1:M68"/>
  <sheetViews>
    <sheetView workbookViewId="0" topLeftCell="A1">
      <selection activeCell="F42" sqref="F42:I42"/>
    </sheetView>
  </sheetViews>
  <sheetFormatPr defaultColWidth="9.140625" defaultRowHeight="12.75"/>
  <cols>
    <col min="1" max="1" width="20.7109375" style="0" customWidth="1"/>
    <col min="2" max="9" width="15.28125" style="0" customWidth="1"/>
    <col min="10" max="10" width="14.00390625" style="0" customWidth="1"/>
    <col min="12" max="13" width="9.140625" style="0" hidden="1" customWidth="1"/>
  </cols>
  <sheetData>
    <row r="1" spans="1:10" ht="24.75" customHeight="1">
      <c r="A1" s="16" t="s">
        <v>640</v>
      </c>
      <c r="B1" s="16" t="s">
        <v>640</v>
      </c>
      <c r="C1" s="16" t="s">
        <v>640</v>
      </c>
      <c r="D1" s="16" t="s">
        <v>640</v>
      </c>
      <c r="E1" s="16" t="s">
        <v>640</v>
      </c>
      <c r="F1" s="16" t="s">
        <v>640</v>
      </c>
      <c r="G1" s="16" t="s">
        <v>640</v>
      </c>
      <c r="H1" s="16" t="s">
        <v>640</v>
      </c>
      <c r="I1" s="16" t="s">
        <v>640</v>
      </c>
      <c r="J1" s="16" t="s">
        <v>640</v>
      </c>
    </row>
    <row r="2" spans="1:10" ht="18" customHeight="1">
      <c r="A2" s="4" t="s">
        <v>272</v>
      </c>
      <c r="B2" s="3"/>
      <c r="C2" s="3"/>
      <c r="D2" s="3"/>
      <c r="E2" s="13" t="s">
        <v>273</v>
      </c>
      <c r="F2" s="4"/>
      <c r="G2" s="4"/>
      <c r="H2" s="4"/>
      <c r="I2" s="11" t="s">
        <v>1</v>
      </c>
      <c r="J2" s="4"/>
    </row>
    <row r="3" spans="1:10" ht="18" customHeight="1">
      <c r="A3" s="13" t="s">
        <v>276</v>
      </c>
      <c r="B3" s="17" t="s">
        <v>641</v>
      </c>
      <c r="C3" s="17" t="s">
        <v>641</v>
      </c>
      <c r="D3" s="17" t="s">
        <v>641</v>
      </c>
      <c r="E3" s="6" t="s">
        <v>278</v>
      </c>
      <c r="F3" s="6" t="s">
        <v>278</v>
      </c>
      <c r="G3" s="6" t="s">
        <v>278</v>
      </c>
      <c r="H3" s="6" t="s">
        <v>278</v>
      </c>
      <c r="I3" s="6" t="s">
        <v>278</v>
      </c>
      <c r="J3" s="13" t="s">
        <v>36</v>
      </c>
    </row>
    <row r="4" spans="1:10" ht="18" customHeight="1">
      <c r="A4" s="13" t="s">
        <v>276</v>
      </c>
      <c r="B4" s="6" t="s">
        <v>280</v>
      </c>
      <c r="C4" s="6" t="s">
        <v>281</v>
      </c>
      <c r="D4" s="6" t="s">
        <v>427</v>
      </c>
      <c r="E4" s="6" t="s">
        <v>296</v>
      </c>
      <c r="F4" s="6" t="s">
        <v>306</v>
      </c>
      <c r="G4" s="6" t="s">
        <v>307</v>
      </c>
      <c r="H4" s="6" t="s">
        <v>308</v>
      </c>
      <c r="I4" s="6" t="s">
        <v>309</v>
      </c>
      <c r="J4" s="13" t="s">
        <v>36</v>
      </c>
    </row>
    <row r="5" spans="1:10" ht="18" customHeight="1">
      <c r="A5" s="17" t="s">
        <v>642</v>
      </c>
      <c r="B5" s="56" t="s">
        <v>473</v>
      </c>
      <c r="C5" s="13" t="s">
        <v>473</v>
      </c>
      <c r="D5" s="13" t="s">
        <v>473</v>
      </c>
      <c r="E5" s="13" t="s">
        <v>473</v>
      </c>
      <c r="F5" s="13" t="s">
        <v>473</v>
      </c>
      <c r="G5" s="13" t="s">
        <v>473</v>
      </c>
      <c r="H5" s="13" t="s">
        <v>473</v>
      </c>
      <c r="I5" s="13" t="s">
        <v>473</v>
      </c>
      <c r="J5" s="4"/>
    </row>
    <row r="6" spans="1:10" ht="18" customHeight="1">
      <c r="A6" s="17" t="s">
        <v>643</v>
      </c>
      <c r="B6" s="9"/>
      <c r="C6" s="57">
        <f>B9</f>
        <v>318.9800000000005</v>
      </c>
      <c r="D6" s="8">
        <f>B6+C6</f>
        <v>318.9800000000005</v>
      </c>
      <c r="E6" s="8">
        <f>SUM(F6:I6)</f>
        <v>0</v>
      </c>
      <c r="F6" s="57"/>
      <c r="G6" s="57"/>
      <c r="H6" s="57"/>
      <c r="I6" s="57"/>
      <c r="J6" s="4"/>
    </row>
    <row r="7" spans="1:13" ht="18" customHeight="1">
      <c r="A7" s="17" t="s">
        <v>644</v>
      </c>
      <c r="B7" s="9">
        <v>5038.22</v>
      </c>
      <c r="C7" s="10"/>
      <c r="D7" s="8">
        <f>B7+C7</f>
        <v>5038.22</v>
      </c>
      <c r="E7" s="8">
        <f>SUM(F7:I7)</f>
        <v>2481.6</v>
      </c>
      <c r="F7" s="10"/>
      <c r="G7" s="15">
        <v>2481.6</v>
      </c>
      <c r="H7" s="10"/>
      <c r="I7" s="10"/>
      <c r="J7" s="4"/>
      <c r="M7">
        <v>82720</v>
      </c>
    </row>
    <row r="8" spans="1:10" ht="18" customHeight="1">
      <c r="A8" s="17" t="s">
        <v>645</v>
      </c>
      <c r="B8" s="9">
        <v>4719.24</v>
      </c>
      <c r="C8" s="10"/>
      <c r="D8" s="8">
        <f>B8+C8</f>
        <v>4719.24</v>
      </c>
      <c r="E8" s="8">
        <f>SUM(F8:I8)</f>
        <v>2481.6</v>
      </c>
      <c r="F8" s="10"/>
      <c r="G8" s="15">
        <v>2481.6</v>
      </c>
      <c r="H8" s="10"/>
      <c r="I8" s="10"/>
      <c r="J8" s="4"/>
    </row>
    <row r="9" spans="1:10" ht="18" customHeight="1">
      <c r="A9" s="17" t="s">
        <v>646</v>
      </c>
      <c r="B9" s="8">
        <f>B6+B7-B8</f>
        <v>318.9800000000005</v>
      </c>
      <c r="C9" s="8">
        <f aca="true" t="shared" si="0" ref="C9:I9">C6+C7-C8</f>
        <v>318.9800000000005</v>
      </c>
      <c r="D9" s="8">
        <f t="shared" si="0"/>
        <v>637.960000000001</v>
      </c>
      <c r="E9" s="8">
        <f t="shared" si="0"/>
        <v>0</v>
      </c>
      <c r="F9" s="8">
        <f t="shared" si="0"/>
        <v>0</v>
      </c>
      <c r="G9" s="8">
        <f t="shared" si="0"/>
        <v>0</v>
      </c>
      <c r="H9" s="8">
        <f t="shared" si="0"/>
        <v>0</v>
      </c>
      <c r="I9" s="8">
        <f t="shared" si="0"/>
        <v>0</v>
      </c>
      <c r="J9" s="4"/>
    </row>
    <row r="10" spans="1:10" ht="13.5" customHeight="1">
      <c r="A10" s="17" t="s">
        <v>647</v>
      </c>
      <c r="B10" s="56" t="s">
        <v>473</v>
      </c>
      <c r="C10" s="56" t="s">
        <v>473</v>
      </c>
      <c r="D10" s="56" t="s">
        <v>473</v>
      </c>
      <c r="E10" s="56" t="s">
        <v>473</v>
      </c>
      <c r="F10" s="56" t="s">
        <v>473</v>
      </c>
      <c r="G10" s="56" t="s">
        <v>473</v>
      </c>
      <c r="H10" s="56" t="s">
        <v>473</v>
      </c>
      <c r="I10" s="56" t="s">
        <v>473</v>
      </c>
      <c r="J10" s="4"/>
    </row>
    <row r="11" spans="1:10" ht="13.5" customHeight="1">
      <c r="A11" s="17" t="s">
        <v>643</v>
      </c>
      <c r="B11" s="9"/>
      <c r="C11" s="57"/>
      <c r="D11" s="8">
        <f>B11+C11</f>
        <v>0</v>
      </c>
      <c r="E11" s="8">
        <f>SUM(F11:I11)</f>
        <v>0</v>
      </c>
      <c r="F11" s="57"/>
      <c r="G11" s="57"/>
      <c r="H11" s="57"/>
      <c r="I11" s="57"/>
      <c r="J11" s="4"/>
    </row>
    <row r="12" spans="1:10" ht="13.5" customHeight="1">
      <c r="A12" s="17" t="s">
        <v>644</v>
      </c>
      <c r="B12" s="9"/>
      <c r="C12" s="10"/>
      <c r="D12" s="8">
        <f>B12+C12</f>
        <v>0</v>
      </c>
      <c r="E12" s="8">
        <f>SUM(F12:I12)</f>
        <v>0</v>
      </c>
      <c r="F12" s="10"/>
      <c r="G12" s="10"/>
      <c r="H12" s="10"/>
      <c r="I12" s="10"/>
      <c r="J12" s="4"/>
    </row>
    <row r="13" spans="1:10" ht="13.5" customHeight="1">
      <c r="A13" s="17" t="s">
        <v>645</v>
      </c>
      <c r="B13" s="9"/>
      <c r="C13" s="10"/>
      <c r="D13" s="8">
        <f>B13+C13</f>
        <v>0</v>
      </c>
      <c r="E13" s="8">
        <f>SUM(F13:I13)</f>
        <v>0</v>
      </c>
      <c r="F13" s="10"/>
      <c r="G13" s="10"/>
      <c r="H13" s="10"/>
      <c r="I13" s="10"/>
      <c r="J13" s="4"/>
    </row>
    <row r="14" spans="1:10" ht="13.5" customHeight="1">
      <c r="A14" s="17" t="s">
        <v>646</v>
      </c>
      <c r="B14" s="8">
        <f aca="true" t="shared" si="1" ref="B14:I14">B11+B12-B13</f>
        <v>0</v>
      </c>
      <c r="C14" s="8">
        <f t="shared" si="1"/>
        <v>0</v>
      </c>
      <c r="D14" s="8">
        <f t="shared" si="1"/>
        <v>0</v>
      </c>
      <c r="E14" s="8">
        <f t="shared" si="1"/>
        <v>0</v>
      </c>
      <c r="F14" s="8">
        <f t="shared" si="1"/>
        <v>0</v>
      </c>
      <c r="G14" s="8">
        <f t="shared" si="1"/>
        <v>0</v>
      </c>
      <c r="H14" s="8">
        <f t="shared" si="1"/>
        <v>0</v>
      </c>
      <c r="I14" s="8">
        <f t="shared" si="1"/>
        <v>0</v>
      </c>
      <c r="J14" s="4"/>
    </row>
    <row r="15" spans="1:10" ht="13.5" customHeight="1">
      <c r="A15" s="17" t="s">
        <v>648</v>
      </c>
      <c r="B15" s="56" t="s">
        <v>473</v>
      </c>
      <c r="C15" s="56" t="s">
        <v>473</v>
      </c>
      <c r="D15" s="56" t="s">
        <v>473</v>
      </c>
      <c r="E15" s="56" t="s">
        <v>473</v>
      </c>
      <c r="F15" s="56" t="s">
        <v>473</v>
      </c>
      <c r="G15" s="56" t="s">
        <v>473</v>
      </c>
      <c r="H15" s="56" t="s">
        <v>473</v>
      </c>
      <c r="I15" s="56" t="s">
        <v>473</v>
      </c>
      <c r="J15" s="4"/>
    </row>
    <row r="16" spans="1:10" ht="13.5" customHeight="1">
      <c r="A16" s="17" t="s">
        <v>643</v>
      </c>
      <c r="B16" s="9"/>
      <c r="C16" s="57"/>
      <c r="D16" s="8">
        <f>B16+C16</f>
        <v>0</v>
      </c>
      <c r="E16" s="8">
        <f>SUM(F16:I16)</f>
        <v>0</v>
      </c>
      <c r="F16" s="57"/>
      <c r="G16" s="57"/>
      <c r="H16" s="57"/>
      <c r="I16" s="57"/>
      <c r="J16" s="4"/>
    </row>
    <row r="17" spans="1:10" ht="13.5" customHeight="1">
      <c r="A17" s="17" t="s">
        <v>644</v>
      </c>
      <c r="B17" s="9"/>
      <c r="C17" s="10"/>
      <c r="D17" s="8">
        <f>B17+C17</f>
        <v>0</v>
      </c>
      <c r="E17" s="8">
        <f>SUM(F17:I17)</f>
        <v>0</v>
      </c>
      <c r="F17" s="10"/>
      <c r="G17" s="10"/>
      <c r="H17" s="10"/>
      <c r="I17" s="10"/>
      <c r="J17" s="4"/>
    </row>
    <row r="18" spans="1:10" ht="13.5" customHeight="1">
      <c r="A18" s="17" t="s">
        <v>645</v>
      </c>
      <c r="B18" s="9"/>
      <c r="C18" s="10"/>
      <c r="D18" s="8">
        <f>B18+C18</f>
        <v>0</v>
      </c>
      <c r="E18" s="8">
        <f>SUM(F18:I18)</f>
        <v>0</v>
      </c>
      <c r="F18" s="10"/>
      <c r="G18" s="10"/>
      <c r="H18" s="10"/>
      <c r="I18" s="10"/>
      <c r="J18" s="4"/>
    </row>
    <row r="19" spans="1:10" ht="13.5" customHeight="1">
      <c r="A19" s="17" t="s">
        <v>646</v>
      </c>
      <c r="B19" s="8">
        <f aca="true" t="shared" si="2" ref="B19:I19">B16+B17-B18</f>
        <v>0</v>
      </c>
      <c r="C19" s="8">
        <f t="shared" si="2"/>
        <v>0</v>
      </c>
      <c r="D19" s="8">
        <f t="shared" si="2"/>
        <v>0</v>
      </c>
      <c r="E19" s="8">
        <f t="shared" si="2"/>
        <v>0</v>
      </c>
      <c r="F19" s="8">
        <f t="shared" si="2"/>
        <v>0</v>
      </c>
      <c r="G19" s="8">
        <f t="shared" si="2"/>
        <v>0</v>
      </c>
      <c r="H19" s="8">
        <f t="shared" si="2"/>
        <v>0</v>
      </c>
      <c r="I19" s="8">
        <f t="shared" si="2"/>
        <v>0</v>
      </c>
      <c r="J19" s="4"/>
    </row>
    <row r="20" spans="1:10" ht="15.75" customHeight="1">
      <c r="A20" s="17" t="s">
        <v>649</v>
      </c>
      <c r="B20" s="56" t="s">
        <v>473</v>
      </c>
      <c r="C20" s="56" t="s">
        <v>473</v>
      </c>
      <c r="D20" s="56" t="s">
        <v>473</v>
      </c>
      <c r="E20" s="56" t="s">
        <v>473</v>
      </c>
      <c r="F20" s="56" t="s">
        <v>473</v>
      </c>
      <c r="G20" s="56" t="s">
        <v>473</v>
      </c>
      <c r="H20" s="56" t="s">
        <v>473</v>
      </c>
      <c r="I20" s="56" t="s">
        <v>473</v>
      </c>
      <c r="J20" s="4"/>
    </row>
    <row r="21" spans="1:10" ht="15.75" customHeight="1">
      <c r="A21" s="17" t="s">
        <v>643</v>
      </c>
      <c r="B21" s="9"/>
      <c r="C21" s="57">
        <f>B24</f>
        <v>15.950000000000003</v>
      </c>
      <c r="D21" s="8">
        <f>B21+C21</f>
        <v>15.950000000000003</v>
      </c>
      <c r="E21" s="8">
        <f>SUM(F21:I21)</f>
        <v>0</v>
      </c>
      <c r="F21" s="57"/>
      <c r="G21" s="20"/>
      <c r="H21" s="57"/>
      <c r="I21" s="57"/>
      <c r="J21" s="4"/>
    </row>
    <row r="22" spans="1:10" ht="15.75" customHeight="1">
      <c r="A22" s="17" t="s">
        <v>644</v>
      </c>
      <c r="B22" s="9">
        <v>126.93</v>
      </c>
      <c r="C22" s="10"/>
      <c r="D22" s="8">
        <f>B22+C22</f>
        <v>126.93</v>
      </c>
      <c r="E22" s="8">
        <f>SUM(F22:I22)</f>
        <v>74.448</v>
      </c>
      <c r="F22" s="10"/>
      <c r="G22" s="15">
        <f>G7*3%</f>
        <v>74.448</v>
      </c>
      <c r="H22" s="10"/>
      <c r="I22" s="10"/>
      <c r="J22" s="4"/>
    </row>
    <row r="23" spans="1:10" ht="15.75" customHeight="1">
      <c r="A23" s="17" t="s">
        <v>645</v>
      </c>
      <c r="B23" s="9">
        <v>110.98</v>
      </c>
      <c r="C23" s="10"/>
      <c r="D23" s="8">
        <f>B23+C23</f>
        <v>110.98</v>
      </c>
      <c r="E23" s="8">
        <f>SUM(F23:I23)</f>
        <v>74.45</v>
      </c>
      <c r="F23" s="10"/>
      <c r="G23" s="15">
        <v>74.45</v>
      </c>
      <c r="H23" s="10"/>
      <c r="I23" s="10"/>
      <c r="J23" s="4"/>
    </row>
    <row r="24" spans="1:10" ht="15.75" customHeight="1">
      <c r="A24" s="17" t="s">
        <v>646</v>
      </c>
      <c r="B24" s="8">
        <f aca="true" t="shared" si="3" ref="B24:I24">B21+B22-B23</f>
        <v>15.950000000000003</v>
      </c>
      <c r="C24" s="8">
        <f t="shared" si="3"/>
        <v>15.950000000000003</v>
      </c>
      <c r="D24" s="8">
        <f t="shared" si="3"/>
        <v>31.89999999999999</v>
      </c>
      <c r="E24" s="8">
        <f t="shared" si="3"/>
        <v>-0.0020000000000095497</v>
      </c>
      <c r="F24" s="8">
        <f t="shared" si="3"/>
        <v>0</v>
      </c>
      <c r="G24" s="8">
        <f t="shared" si="3"/>
        <v>-0.0020000000000095497</v>
      </c>
      <c r="H24" s="8">
        <f t="shared" si="3"/>
        <v>0</v>
      </c>
      <c r="I24" s="8">
        <f t="shared" si="3"/>
        <v>0</v>
      </c>
      <c r="J24" s="4"/>
    </row>
    <row r="25" spans="1:10" ht="15.75" customHeight="1">
      <c r="A25" s="17" t="s">
        <v>650</v>
      </c>
      <c r="B25" s="56" t="s">
        <v>473</v>
      </c>
      <c r="C25" s="56" t="s">
        <v>473</v>
      </c>
      <c r="D25" s="56" t="s">
        <v>473</v>
      </c>
      <c r="E25" s="56" t="s">
        <v>473</v>
      </c>
      <c r="F25" s="56" t="s">
        <v>473</v>
      </c>
      <c r="G25" s="56" t="s">
        <v>473</v>
      </c>
      <c r="H25" s="56" t="s">
        <v>473</v>
      </c>
      <c r="I25" s="56" t="s">
        <v>473</v>
      </c>
      <c r="J25" s="4"/>
    </row>
    <row r="26" spans="1:10" ht="15.75" customHeight="1">
      <c r="A26" s="17" t="s">
        <v>643</v>
      </c>
      <c r="B26" s="9"/>
      <c r="C26" s="57">
        <f>B29</f>
        <v>15.950000000000017</v>
      </c>
      <c r="D26" s="8">
        <f>B26+C26</f>
        <v>15.950000000000017</v>
      </c>
      <c r="E26" s="8">
        <f>SUM(F26:I26)</f>
        <v>0</v>
      </c>
      <c r="F26" s="57"/>
      <c r="G26" s="20"/>
      <c r="H26" s="57"/>
      <c r="I26" s="57"/>
      <c r="J26" s="4"/>
    </row>
    <row r="27" spans="1:10" ht="15.75" customHeight="1">
      <c r="A27" s="17" t="s">
        <v>644</v>
      </c>
      <c r="B27" s="9">
        <f>76.15+50.77</f>
        <v>126.92000000000002</v>
      </c>
      <c r="C27" s="10"/>
      <c r="D27" s="8">
        <f>B27+C27</f>
        <v>126.92000000000002</v>
      </c>
      <c r="E27" s="8">
        <f>SUM(F27:I27)</f>
        <v>173.71200000000002</v>
      </c>
      <c r="F27" s="10"/>
      <c r="G27" s="15">
        <f>G7*7%</f>
        <v>173.71200000000002</v>
      </c>
      <c r="H27" s="10"/>
      <c r="I27" s="10"/>
      <c r="J27" s="4"/>
    </row>
    <row r="28" spans="1:10" ht="15.75" customHeight="1">
      <c r="A28" s="17" t="s">
        <v>645</v>
      </c>
      <c r="B28" s="9">
        <f>66.58+44.39</f>
        <v>110.97</v>
      </c>
      <c r="C28" s="10"/>
      <c r="D28" s="8">
        <f>B28+C28</f>
        <v>110.97</v>
      </c>
      <c r="E28" s="8">
        <f>SUM(F28:I28)</f>
        <v>173.71</v>
      </c>
      <c r="F28" s="10"/>
      <c r="G28" s="15">
        <v>173.71</v>
      </c>
      <c r="H28" s="10"/>
      <c r="I28" s="10"/>
      <c r="J28" s="4"/>
    </row>
    <row r="29" spans="1:10" ht="15.75" customHeight="1">
      <c r="A29" s="17" t="s">
        <v>646</v>
      </c>
      <c r="B29" s="8">
        <f aca="true" t="shared" si="4" ref="B29:I29">B26+B27-B28</f>
        <v>15.950000000000017</v>
      </c>
      <c r="C29" s="8">
        <f t="shared" si="4"/>
        <v>15.950000000000017</v>
      </c>
      <c r="D29" s="8">
        <f t="shared" si="4"/>
        <v>31.900000000000034</v>
      </c>
      <c r="E29" s="8">
        <f t="shared" si="4"/>
        <v>0.0020000000000095497</v>
      </c>
      <c r="F29" s="8">
        <f t="shared" si="4"/>
        <v>0</v>
      </c>
      <c r="G29" s="8">
        <f t="shared" si="4"/>
        <v>0.0020000000000095497</v>
      </c>
      <c r="H29" s="8">
        <f t="shared" si="4"/>
        <v>0</v>
      </c>
      <c r="I29" s="8">
        <f t="shared" si="4"/>
        <v>0</v>
      </c>
      <c r="J29" s="4"/>
    </row>
    <row r="30" spans="1:10" ht="15.75" customHeight="1">
      <c r="A30" s="17" t="s">
        <v>651</v>
      </c>
      <c r="B30" s="56" t="s">
        <v>473</v>
      </c>
      <c r="C30" s="56" t="s">
        <v>473</v>
      </c>
      <c r="D30" s="56" t="s">
        <v>473</v>
      </c>
      <c r="E30" s="56" t="s">
        <v>473</v>
      </c>
      <c r="F30" s="56" t="s">
        <v>473</v>
      </c>
      <c r="G30" s="56" t="s">
        <v>473</v>
      </c>
      <c r="H30" s="56" t="s">
        <v>473</v>
      </c>
      <c r="I30" s="56" t="s">
        <v>473</v>
      </c>
      <c r="J30" s="4"/>
    </row>
    <row r="31" spans="1:10" ht="15.75" customHeight="1">
      <c r="A31" s="17" t="s">
        <v>643</v>
      </c>
      <c r="B31" s="8">
        <v>5669.52</v>
      </c>
      <c r="C31" s="20">
        <f>B34</f>
        <v>2834.76</v>
      </c>
      <c r="D31" s="8">
        <f>B31</f>
        <v>5669.52</v>
      </c>
      <c r="E31" s="8">
        <f>SUM(F31:I31)</f>
        <v>11339.04</v>
      </c>
      <c r="F31" s="20">
        <f>C34</f>
        <v>2834.76</v>
      </c>
      <c r="G31" s="20">
        <f>F34</f>
        <v>2834.76</v>
      </c>
      <c r="H31" s="20">
        <f>G34</f>
        <v>2834.76</v>
      </c>
      <c r="I31" s="20">
        <f>H34</f>
        <v>2834.76</v>
      </c>
      <c r="J31" s="4"/>
    </row>
    <row r="32" spans="1:10" ht="15.75" customHeight="1">
      <c r="A32" s="17" t="s">
        <v>644</v>
      </c>
      <c r="B32" s="8">
        <v>9449.17</v>
      </c>
      <c r="C32" s="15"/>
      <c r="D32" s="8">
        <f>B32+C32</f>
        <v>9449.17</v>
      </c>
      <c r="E32" s="8">
        <f>SUM(F32:I32)</f>
        <v>11339.04</v>
      </c>
      <c r="F32" s="15">
        <v>2834.76</v>
      </c>
      <c r="G32" s="15">
        <v>2834.76</v>
      </c>
      <c r="H32" s="15">
        <v>2834.76</v>
      </c>
      <c r="I32" s="15">
        <v>2834.76</v>
      </c>
      <c r="J32" s="4"/>
    </row>
    <row r="33" spans="1:10" ht="15.75" customHeight="1">
      <c r="A33" s="17" t="s">
        <v>645</v>
      </c>
      <c r="B33" s="8">
        <v>12283.93</v>
      </c>
      <c r="C33" s="15"/>
      <c r="D33" s="8">
        <f>B33+C33</f>
        <v>12283.93</v>
      </c>
      <c r="E33" s="8">
        <f>SUM(F33:I33)</f>
        <v>11339.04</v>
      </c>
      <c r="F33" s="15">
        <f>F31</f>
        <v>2834.76</v>
      </c>
      <c r="G33" s="15">
        <f>G31</f>
        <v>2834.76</v>
      </c>
      <c r="H33" s="15">
        <f>H31</f>
        <v>2834.76</v>
      </c>
      <c r="I33" s="15">
        <f>I31</f>
        <v>2834.76</v>
      </c>
      <c r="J33" s="4"/>
    </row>
    <row r="34" spans="1:10" ht="15.75" customHeight="1">
      <c r="A34" s="17" t="s">
        <v>646</v>
      </c>
      <c r="B34" s="8">
        <f>B31+B32-B33</f>
        <v>2834.76</v>
      </c>
      <c r="C34" s="8">
        <f aca="true" t="shared" si="5" ref="B34:I34">C31+C32-C33</f>
        <v>2834.76</v>
      </c>
      <c r="D34" s="8">
        <f t="shared" si="5"/>
        <v>2834.76</v>
      </c>
      <c r="E34" s="8">
        <f t="shared" si="5"/>
        <v>11339.04</v>
      </c>
      <c r="F34" s="8">
        <f t="shared" si="5"/>
        <v>2834.76</v>
      </c>
      <c r="G34" s="8">
        <f t="shared" si="5"/>
        <v>2834.76</v>
      </c>
      <c r="H34" s="8">
        <f t="shared" si="5"/>
        <v>2834.76</v>
      </c>
      <c r="I34" s="8">
        <f t="shared" si="5"/>
        <v>2834.76</v>
      </c>
      <c r="J34" s="4"/>
    </row>
    <row r="35" spans="1:10" ht="15.75" customHeight="1">
      <c r="A35" s="17" t="s">
        <v>652</v>
      </c>
      <c r="B35" s="56" t="s">
        <v>473</v>
      </c>
      <c r="C35" s="56" t="s">
        <v>473</v>
      </c>
      <c r="D35" s="56" t="s">
        <v>473</v>
      </c>
      <c r="E35" s="56" t="s">
        <v>473</v>
      </c>
      <c r="F35" s="56" t="s">
        <v>473</v>
      </c>
      <c r="G35" s="56" t="s">
        <v>473</v>
      </c>
      <c r="H35" s="56" t="s">
        <v>473</v>
      </c>
      <c r="I35" s="56" t="s">
        <v>473</v>
      </c>
      <c r="J35" s="4"/>
    </row>
    <row r="36" spans="1:10" ht="15.75" customHeight="1">
      <c r="A36" s="17" t="s">
        <v>643</v>
      </c>
      <c r="B36" s="9"/>
      <c r="C36" s="57"/>
      <c r="D36" s="8">
        <f>B36+C36</f>
        <v>0</v>
      </c>
      <c r="E36" s="8">
        <f>SUM(F36:I36)</f>
        <v>0</v>
      </c>
      <c r="F36" s="57"/>
      <c r="G36" s="57"/>
      <c r="H36" s="57"/>
      <c r="I36" s="57"/>
      <c r="J36" s="4"/>
    </row>
    <row r="37" spans="1:10" ht="15.75" customHeight="1">
      <c r="A37" s="17" t="s">
        <v>644</v>
      </c>
      <c r="B37" s="9"/>
      <c r="C37" s="10"/>
      <c r="D37" s="8">
        <f>B37+C37</f>
        <v>0</v>
      </c>
      <c r="E37" s="8">
        <f>SUM(F37:I37)</f>
        <v>0</v>
      </c>
      <c r="F37" s="10"/>
      <c r="G37" s="10"/>
      <c r="H37" s="10"/>
      <c r="I37" s="10"/>
      <c r="J37" s="4"/>
    </row>
    <row r="38" spans="1:10" ht="15.75" customHeight="1">
      <c r="A38" s="17" t="s">
        <v>645</v>
      </c>
      <c r="B38" s="9"/>
      <c r="C38" s="10"/>
      <c r="D38" s="8">
        <f>B38+C38</f>
        <v>0</v>
      </c>
      <c r="E38" s="8">
        <f>SUM(F38:I38)</f>
        <v>0</v>
      </c>
      <c r="F38" s="10"/>
      <c r="G38" s="10"/>
      <c r="H38" s="10"/>
      <c r="I38" s="10"/>
      <c r="J38" s="4"/>
    </row>
    <row r="39" spans="1:10" ht="15.75" customHeight="1">
      <c r="A39" s="17" t="s">
        <v>646</v>
      </c>
      <c r="B39" s="8">
        <f aca="true" t="shared" si="6" ref="B39:I39">B36+B37-B38</f>
        <v>0</v>
      </c>
      <c r="C39" s="8">
        <f t="shared" si="6"/>
        <v>0</v>
      </c>
      <c r="D39" s="8">
        <f t="shared" si="6"/>
        <v>0</v>
      </c>
      <c r="E39" s="8">
        <f t="shared" si="6"/>
        <v>0</v>
      </c>
      <c r="F39" s="8">
        <f t="shared" si="6"/>
        <v>0</v>
      </c>
      <c r="G39" s="8">
        <f t="shared" si="6"/>
        <v>0</v>
      </c>
      <c r="H39" s="8">
        <f t="shared" si="6"/>
        <v>0</v>
      </c>
      <c r="I39" s="8">
        <f t="shared" si="6"/>
        <v>0</v>
      </c>
      <c r="J39" s="4"/>
    </row>
    <row r="40" spans="1:10" ht="15.75" customHeight="1">
      <c r="A40" s="17" t="s">
        <v>653</v>
      </c>
      <c r="B40" s="56" t="s">
        <v>473</v>
      </c>
      <c r="C40" s="56" t="s">
        <v>473</v>
      </c>
      <c r="D40" s="56" t="s">
        <v>473</v>
      </c>
      <c r="E40" s="56" t="s">
        <v>473</v>
      </c>
      <c r="F40" s="56" t="s">
        <v>473</v>
      </c>
      <c r="G40" s="56" t="s">
        <v>473</v>
      </c>
      <c r="H40" s="56" t="s">
        <v>473</v>
      </c>
      <c r="I40" s="56" t="s">
        <v>473</v>
      </c>
      <c r="J40" s="4"/>
    </row>
    <row r="41" spans="1:10" ht="15.75" customHeight="1">
      <c r="A41" s="17" t="s">
        <v>643</v>
      </c>
      <c r="B41" s="8">
        <v>23020.81</v>
      </c>
      <c r="C41" s="20">
        <f>B44</f>
        <v>25280.429999999993</v>
      </c>
      <c r="D41" s="8">
        <f>B41</f>
        <v>23020.81</v>
      </c>
      <c r="E41" s="8">
        <f>SUM(F41:I41)</f>
        <v>101121.71999999997</v>
      </c>
      <c r="F41" s="20">
        <f>C44</f>
        <v>25280.429999999993</v>
      </c>
      <c r="G41" s="20">
        <f>F44</f>
        <v>25280.429999999993</v>
      </c>
      <c r="H41" s="20">
        <f>G44</f>
        <v>25280.429999999993</v>
      </c>
      <c r="I41" s="20">
        <f>H44</f>
        <v>25280.429999999993</v>
      </c>
      <c r="J41" s="4"/>
    </row>
    <row r="42" spans="1:10" ht="15.75" customHeight="1">
      <c r="A42" s="17" t="s">
        <v>644</v>
      </c>
      <c r="B42" s="8">
        <v>102939.28</v>
      </c>
      <c r="C42" s="15"/>
      <c r="D42" s="8">
        <f>B42+C42</f>
        <v>102939.28</v>
      </c>
      <c r="E42" s="8">
        <f>SUM(F42:I42)</f>
        <v>101121.71999999997</v>
      </c>
      <c r="F42" s="15">
        <v>25280.429999999993</v>
      </c>
      <c r="G42" s="15">
        <v>25280.429999999993</v>
      </c>
      <c r="H42" s="15">
        <v>25280.429999999993</v>
      </c>
      <c r="I42" s="15">
        <v>25280.429999999993</v>
      </c>
      <c r="J42" s="4"/>
    </row>
    <row r="43" spans="1:10" ht="15.75" customHeight="1">
      <c r="A43" s="17" t="s">
        <v>645</v>
      </c>
      <c r="B43" s="8">
        <v>100679.66</v>
      </c>
      <c r="C43" s="15"/>
      <c r="D43" s="8">
        <f>B43+C43</f>
        <v>100679.66</v>
      </c>
      <c r="E43" s="8">
        <f>SUM(F43:I43)</f>
        <v>101121.71999999997</v>
      </c>
      <c r="F43" s="15">
        <f>F41</f>
        <v>25280.429999999993</v>
      </c>
      <c r="G43" s="15">
        <f>G41</f>
        <v>25280.429999999993</v>
      </c>
      <c r="H43" s="15">
        <f>H41</f>
        <v>25280.429999999993</v>
      </c>
      <c r="I43" s="15">
        <f>I41</f>
        <v>25280.429999999993</v>
      </c>
      <c r="J43" s="4"/>
    </row>
    <row r="44" spans="1:10" ht="15.75" customHeight="1">
      <c r="A44" s="17" t="s">
        <v>646</v>
      </c>
      <c r="B44" s="8">
        <f aca="true" t="shared" si="7" ref="B44:I44">B41+B42-B43</f>
        <v>25280.429999999993</v>
      </c>
      <c r="C44" s="8">
        <f t="shared" si="7"/>
        <v>25280.429999999993</v>
      </c>
      <c r="D44" s="8">
        <f t="shared" si="7"/>
        <v>25280.429999999993</v>
      </c>
      <c r="E44" s="8">
        <f t="shared" si="7"/>
        <v>101121.71999999997</v>
      </c>
      <c r="F44" s="8">
        <f t="shared" si="7"/>
        <v>25280.429999999993</v>
      </c>
      <c r="G44" s="8">
        <f t="shared" si="7"/>
        <v>25280.429999999993</v>
      </c>
      <c r="H44" s="8">
        <f t="shared" si="7"/>
        <v>25280.429999999993</v>
      </c>
      <c r="I44" s="8">
        <f t="shared" si="7"/>
        <v>25280.429999999993</v>
      </c>
      <c r="J44" s="4"/>
    </row>
    <row r="45" spans="1:10" ht="15.75" customHeight="1">
      <c r="A45" s="17" t="s">
        <v>654</v>
      </c>
      <c r="B45" s="56" t="s">
        <v>473</v>
      </c>
      <c r="C45" s="56" t="s">
        <v>473</v>
      </c>
      <c r="D45" s="56" t="s">
        <v>473</v>
      </c>
      <c r="E45" s="56" t="s">
        <v>473</v>
      </c>
      <c r="F45" s="56" t="s">
        <v>473</v>
      </c>
      <c r="G45" s="56" t="s">
        <v>473</v>
      </c>
      <c r="H45" s="56" t="s">
        <v>473</v>
      </c>
      <c r="I45" s="56" t="s">
        <v>473</v>
      </c>
      <c r="J45" s="4"/>
    </row>
    <row r="46" spans="1:10" ht="15.75" customHeight="1">
      <c r="A46" s="17" t="s">
        <v>643</v>
      </c>
      <c r="B46" s="9"/>
      <c r="C46" s="57"/>
      <c r="D46" s="8">
        <f>B46+C46</f>
        <v>0</v>
      </c>
      <c r="E46" s="8">
        <f>SUM(F46:I46)</f>
        <v>0</v>
      </c>
      <c r="F46" s="57"/>
      <c r="G46" s="57"/>
      <c r="H46" s="57"/>
      <c r="I46" s="57"/>
      <c r="J46" s="4"/>
    </row>
    <row r="47" spans="1:10" ht="15.75" customHeight="1">
      <c r="A47" s="17" t="s">
        <v>644</v>
      </c>
      <c r="B47" s="9"/>
      <c r="C47" s="10"/>
      <c r="D47" s="8">
        <f>B47+C47</f>
        <v>0</v>
      </c>
      <c r="E47" s="8">
        <f>SUM(F47:I47)</f>
        <v>0</v>
      </c>
      <c r="F47" s="10"/>
      <c r="G47" s="10"/>
      <c r="H47" s="10"/>
      <c r="I47" s="10"/>
      <c r="J47" s="4"/>
    </row>
    <row r="48" spans="1:10" ht="15.75" customHeight="1">
      <c r="A48" s="17" t="s">
        <v>645</v>
      </c>
      <c r="B48" s="9"/>
      <c r="C48" s="10"/>
      <c r="D48" s="8">
        <f>B48+C48</f>
        <v>0</v>
      </c>
      <c r="E48" s="8">
        <f>SUM(F48:I48)</f>
        <v>0</v>
      </c>
      <c r="F48" s="10"/>
      <c r="G48" s="10"/>
      <c r="H48" s="10"/>
      <c r="I48" s="10"/>
      <c r="J48" s="4"/>
    </row>
    <row r="49" spans="1:10" ht="15.75" customHeight="1">
      <c r="A49" s="17" t="s">
        <v>646</v>
      </c>
      <c r="B49" s="8">
        <f aca="true" t="shared" si="8" ref="B49:I49">B46+B47-B48</f>
        <v>0</v>
      </c>
      <c r="C49" s="8">
        <f t="shared" si="8"/>
        <v>0</v>
      </c>
      <c r="D49" s="8">
        <f t="shared" si="8"/>
        <v>0</v>
      </c>
      <c r="E49" s="8">
        <f t="shared" si="8"/>
        <v>0</v>
      </c>
      <c r="F49" s="8">
        <f t="shared" si="8"/>
        <v>0</v>
      </c>
      <c r="G49" s="8">
        <f t="shared" si="8"/>
        <v>0</v>
      </c>
      <c r="H49" s="8">
        <f t="shared" si="8"/>
        <v>0</v>
      </c>
      <c r="I49" s="8">
        <f t="shared" si="8"/>
        <v>0</v>
      </c>
      <c r="J49" s="4"/>
    </row>
    <row r="50" spans="1:10" ht="15.75" customHeight="1">
      <c r="A50" s="17" t="s">
        <v>655</v>
      </c>
      <c r="B50" s="56" t="s">
        <v>473</v>
      </c>
      <c r="C50" s="56" t="s">
        <v>473</v>
      </c>
      <c r="D50" s="56" t="s">
        <v>473</v>
      </c>
      <c r="E50" s="56" t="s">
        <v>473</v>
      </c>
      <c r="F50" s="56" t="s">
        <v>473</v>
      </c>
      <c r="G50" s="56" t="s">
        <v>473</v>
      </c>
      <c r="H50" s="56" t="s">
        <v>473</v>
      </c>
      <c r="I50" s="56" t="s">
        <v>473</v>
      </c>
      <c r="J50" s="4"/>
    </row>
    <row r="51" spans="1:10" ht="15.75" customHeight="1">
      <c r="A51" s="17" t="s">
        <v>643</v>
      </c>
      <c r="B51" s="9">
        <v>556.48</v>
      </c>
      <c r="C51" s="57"/>
      <c r="D51" s="8">
        <f>B51+C51</f>
        <v>556.48</v>
      </c>
      <c r="E51" s="8">
        <f>SUM(F51:I51)</f>
        <v>0</v>
      </c>
      <c r="F51" s="57"/>
      <c r="G51" s="57"/>
      <c r="H51" s="57"/>
      <c r="I51" s="57"/>
      <c r="J51" s="4"/>
    </row>
    <row r="52" spans="1:10" ht="15.75" customHeight="1">
      <c r="A52" s="17" t="s">
        <v>644</v>
      </c>
      <c r="B52" s="9"/>
      <c r="C52" s="10"/>
      <c r="D52" s="8">
        <f>B52+C52</f>
        <v>0</v>
      </c>
      <c r="E52" s="8">
        <f>SUM(F52:I52)</f>
        <v>0</v>
      </c>
      <c r="F52" s="10"/>
      <c r="G52" s="10"/>
      <c r="H52" s="10"/>
      <c r="I52" s="10"/>
      <c r="J52" s="4"/>
    </row>
    <row r="53" spans="1:10" ht="15.75" customHeight="1">
      <c r="A53" s="17" t="s">
        <v>645</v>
      </c>
      <c r="B53" s="9"/>
      <c r="C53" s="10"/>
      <c r="D53" s="8">
        <f>B53+C53</f>
        <v>0</v>
      </c>
      <c r="E53" s="8">
        <f>SUM(F53:I53)</f>
        <v>0</v>
      </c>
      <c r="F53" s="10"/>
      <c r="G53" s="10"/>
      <c r="H53" s="10"/>
      <c r="I53" s="10"/>
      <c r="J53" s="4"/>
    </row>
    <row r="54" spans="1:10" ht="15.75" customHeight="1">
      <c r="A54" s="17" t="s">
        <v>646</v>
      </c>
      <c r="B54" s="8">
        <f aca="true" t="shared" si="9" ref="B54:I54">B51+B52-B53</f>
        <v>556.48</v>
      </c>
      <c r="C54" s="8">
        <f t="shared" si="9"/>
        <v>0</v>
      </c>
      <c r="D54" s="8">
        <f t="shared" si="9"/>
        <v>556.48</v>
      </c>
      <c r="E54" s="8">
        <f t="shared" si="9"/>
        <v>0</v>
      </c>
      <c r="F54" s="8">
        <f t="shared" si="9"/>
        <v>0</v>
      </c>
      <c r="G54" s="8">
        <f t="shared" si="9"/>
        <v>0</v>
      </c>
      <c r="H54" s="8">
        <f t="shared" si="9"/>
        <v>0</v>
      </c>
      <c r="I54" s="8">
        <f t="shared" si="9"/>
        <v>0</v>
      </c>
      <c r="J54" s="4"/>
    </row>
    <row r="55" spans="1:10" ht="15.75" customHeight="1">
      <c r="A55" s="17" t="s">
        <v>656</v>
      </c>
      <c r="B55" s="56" t="s">
        <v>473</v>
      </c>
      <c r="C55" s="56" t="s">
        <v>473</v>
      </c>
      <c r="D55" s="56" t="s">
        <v>473</v>
      </c>
      <c r="E55" s="56" t="s">
        <v>473</v>
      </c>
      <c r="F55" s="56" t="s">
        <v>473</v>
      </c>
      <c r="G55" s="56" t="s">
        <v>473</v>
      </c>
      <c r="H55" s="56" t="s">
        <v>473</v>
      </c>
      <c r="I55" s="56" t="s">
        <v>473</v>
      </c>
      <c r="J55" s="4"/>
    </row>
    <row r="56" spans="1:10" ht="15.75" customHeight="1">
      <c r="A56" s="17" t="s">
        <v>643</v>
      </c>
      <c r="B56" s="9"/>
      <c r="C56" s="57"/>
      <c r="D56" s="8">
        <f>B56+C56</f>
        <v>0</v>
      </c>
      <c r="E56" s="8">
        <f>SUM(F56:I56)</f>
        <v>0</v>
      </c>
      <c r="F56" s="57"/>
      <c r="G56" s="57"/>
      <c r="H56" s="57"/>
      <c r="I56" s="57"/>
      <c r="J56" s="4"/>
    </row>
    <row r="57" spans="1:10" ht="15.75" customHeight="1">
      <c r="A57" s="17" t="s">
        <v>644</v>
      </c>
      <c r="B57" s="9"/>
      <c r="C57" s="10"/>
      <c r="D57" s="8">
        <f>B57+C57</f>
        <v>0</v>
      </c>
      <c r="E57" s="8">
        <f>SUM(F57:I57)</f>
        <v>0</v>
      </c>
      <c r="F57" s="10"/>
      <c r="G57" s="10"/>
      <c r="H57" s="10"/>
      <c r="I57" s="10"/>
      <c r="J57" s="4"/>
    </row>
    <row r="58" spans="1:10" ht="15.75" customHeight="1">
      <c r="A58" s="17" t="s">
        <v>645</v>
      </c>
      <c r="B58" s="9"/>
      <c r="C58" s="10"/>
      <c r="D58" s="8">
        <f>B58+C58</f>
        <v>0</v>
      </c>
      <c r="E58" s="8">
        <f>SUM(F58:I58)</f>
        <v>0</v>
      </c>
      <c r="F58" s="10"/>
      <c r="G58" s="10"/>
      <c r="H58" s="10"/>
      <c r="I58" s="10"/>
      <c r="J58" s="4"/>
    </row>
    <row r="59" spans="1:10" ht="15.75" customHeight="1">
      <c r="A59" s="17" t="s">
        <v>646</v>
      </c>
      <c r="B59" s="8">
        <f aca="true" t="shared" si="10" ref="B59:I59">B56+B57-B58</f>
        <v>0</v>
      </c>
      <c r="C59" s="8">
        <f t="shared" si="10"/>
        <v>0</v>
      </c>
      <c r="D59" s="8">
        <f t="shared" si="10"/>
        <v>0</v>
      </c>
      <c r="E59" s="8">
        <f t="shared" si="10"/>
        <v>0</v>
      </c>
      <c r="F59" s="8">
        <f t="shared" si="10"/>
        <v>0</v>
      </c>
      <c r="G59" s="8">
        <f t="shared" si="10"/>
        <v>0</v>
      </c>
      <c r="H59" s="8">
        <f t="shared" si="10"/>
        <v>0</v>
      </c>
      <c r="I59" s="8">
        <f t="shared" si="10"/>
        <v>0</v>
      </c>
      <c r="J59" s="4"/>
    </row>
    <row r="60" spans="1:10" ht="15.75" customHeight="1">
      <c r="A60" s="17" t="s">
        <v>657</v>
      </c>
      <c r="B60" s="56" t="s">
        <v>473</v>
      </c>
      <c r="C60" s="56" t="s">
        <v>473</v>
      </c>
      <c r="D60" s="56" t="s">
        <v>473</v>
      </c>
      <c r="E60" s="56" t="s">
        <v>473</v>
      </c>
      <c r="F60" s="56" t="s">
        <v>473</v>
      </c>
      <c r="G60" s="56" t="s">
        <v>473</v>
      </c>
      <c r="H60" s="56" t="s">
        <v>473</v>
      </c>
      <c r="I60" s="56" t="s">
        <v>473</v>
      </c>
      <c r="J60" s="4"/>
    </row>
    <row r="61" spans="1:10" ht="15.75" customHeight="1">
      <c r="A61" s="17" t="s">
        <v>643</v>
      </c>
      <c r="B61" s="9"/>
      <c r="C61" s="57"/>
      <c r="D61" s="8">
        <f>B61+C61</f>
        <v>0</v>
      </c>
      <c r="E61" s="8">
        <f>SUM(F61:I61)</f>
        <v>0</v>
      </c>
      <c r="F61" s="57"/>
      <c r="G61" s="57"/>
      <c r="H61" s="57"/>
      <c r="I61" s="57"/>
      <c r="J61" s="4"/>
    </row>
    <row r="62" spans="1:10" ht="15.75" customHeight="1">
      <c r="A62" s="17" t="s">
        <v>644</v>
      </c>
      <c r="B62" s="9"/>
      <c r="C62" s="10"/>
      <c r="D62" s="8">
        <f>B62+C62</f>
        <v>0</v>
      </c>
      <c r="E62" s="8">
        <f>SUM(F62:I62)</f>
        <v>0</v>
      </c>
      <c r="F62" s="10"/>
      <c r="G62" s="10"/>
      <c r="H62" s="10"/>
      <c r="I62" s="10"/>
      <c r="J62" s="4"/>
    </row>
    <row r="63" spans="1:10" ht="15.75" customHeight="1">
      <c r="A63" s="17" t="s">
        <v>645</v>
      </c>
      <c r="B63" s="9"/>
      <c r="C63" s="10"/>
      <c r="D63" s="8">
        <f>B63+C63</f>
        <v>0</v>
      </c>
      <c r="E63" s="8">
        <f>SUM(F63:I63)</f>
        <v>0</v>
      </c>
      <c r="F63" s="10"/>
      <c r="G63" s="10"/>
      <c r="H63" s="10"/>
      <c r="I63" s="10"/>
      <c r="J63" s="4"/>
    </row>
    <row r="64" spans="1:10" ht="15.75" customHeight="1">
      <c r="A64" s="17" t="s">
        <v>646</v>
      </c>
      <c r="B64" s="8">
        <f aca="true" t="shared" si="11" ref="B64:I64">B61+B62-B63</f>
        <v>0</v>
      </c>
      <c r="C64" s="8">
        <f t="shared" si="11"/>
        <v>0</v>
      </c>
      <c r="D64" s="8">
        <f t="shared" si="11"/>
        <v>0</v>
      </c>
      <c r="E64" s="8">
        <f t="shared" si="11"/>
        <v>0</v>
      </c>
      <c r="F64" s="8">
        <f t="shared" si="11"/>
        <v>0</v>
      </c>
      <c r="G64" s="8">
        <f t="shared" si="11"/>
        <v>0</v>
      </c>
      <c r="H64" s="8">
        <f t="shared" si="11"/>
        <v>0</v>
      </c>
      <c r="I64" s="8">
        <f t="shared" si="11"/>
        <v>0</v>
      </c>
      <c r="J64" s="4"/>
    </row>
    <row r="65" spans="1:10" ht="18" customHeight="1">
      <c r="A65" s="17" t="s">
        <v>658</v>
      </c>
      <c r="B65" s="8">
        <f>B8+B13+B18+B23+B28+B33+B38+B43+B48+B53+B58+B63</f>
        <v>117904.78</v>
      </c>
      <c r="C65" s="8">
        <f>C8+C13+C18+C23+C28+C33+C38+C43+C48+C53+C58+C63</f>
        <v>0</v>
      </c>
      <c r="D65" s="8">
        <f aca="true" t="shared" si="12" ref="C65:I65">D8+D13+D18+D23+D28+D33+D38+D43+D48+D53+D58+D63</f>
        <v>117904.78</v>
      </c>
      <c r="E65" s="8">
        <f t="shared" si="12"/>
        <v>115190.51999999997</v>
      </c>
      <c r="F65" s="8">
        <f t="shared" si="12"/>
        <v>28115.189999999995</v>
      </c>
      <c r="G65" s="8">
        <f t="shared" si="12"/>
        <v>30844.949999999993</v>
      </c>
      <c r="H65" s="8">
        <f t="shared" si="12"/>
        <v>28115.189999999995</v>
      </c>
      <c r="I65" s="8">
        <f t="shared" si="12"/>
        <v>28115.189999999995</v>
      </c>
      <c r="J65" s="4"/>
    </row>
    <row r="66" spans="1:10" ht="18" customHeight="1">
      <c r="A66" s="17" t="s">
        <v>659</v>
      </c>
      <c r="B66" s="8">
        <f>B9+B14+B19+B24+B29+B34+B39+B44+B49+B54+B59+B64</f>
        <v>29022.549999999992</v>
      </c>
      <c r="C66" s="8">
        <f aca="true" t="shared" si="13" ref="C66:I66">C9+C14+C19+C24+C29+C34+C39+C44+C49+C54+C59+C64</f>
        <v>28466.069999999992</v>
      </c>
      <c r="D66" s="8">
        <f t="shared" si="13"/>
        <v>29373.429999999993</v>
      </c>
      <c r="E66" s="8">
        <f t="shared" si="13"/>
        <v>112460.75999999998</v>
      </c>
      <c r="F66" s="8">
        <f t="shared" si="13"/>
        <v>28115.189999999995</v>
      </c>
      <c r="G66" s="8">
        <f t="shared" si="13"/>
        <v>28115.189999999995</v>
      </c>
      <c r="H66" s="8">
        <f t="shared" si="13"/>
        <v>28115.189999999995</v>
      </c>
      <c r="I66" s="8">
        <f t="shared" si="13"/>
        <v>28115.189999999995</v>
      </c>
      <c r="J66" s="4"/>
    </row>
    <row r="67" spans="1:10" ht="18" customHeight="1">
      <c r="A67" s="17" t="s">
        <v>660</v>
      </c>
      <c r="B67" s="10"/>
      <c r="C67" s="10"/>
      <c r="D67" s="9"/>
      <c r="E67" s="9"/>
      <c r="F67" s="10"/>
      <c r="G67" s="10"/>
      <c r="H67" s="10"/>
      <c r="I67" s="10"/>
      <c r="J67" s="4"/>
    </row>
    <row r="68" spans="1:10" ht="18" customHeight="1">
      <c r="A68" s="4"/>
      <c r="B68" s="11"/>
      <c r="C68" s="12" t="s">
        <v>310</v>
      </c>
      <c r="D68" s="4"/>
      <c r="E68" s="4"/>
      <c r="F68" s="11"/>
      <c r="G68" s="21" t="s">
        <v>328</v>
      </c>
      <c r="H68" s="4"/>
      <c r="I68" s="4"/>
      <c r="J68" s="4"/>
    </row>
  </sheetData>
  <sheetProtection/>
  <mergeCells count="6">
    <mergeCell ref="A1:J1"/>
    <mergeCell ref="B2:D2"/>
    <mergeCell ref="B3:D3"/>
    <mergeCell ref="E3:I3"/>
    <mergeCell ref="A3:A4"/>
    <mergeCell ref="J3:J4"/>
  </mergeCells>
  <printOptions/>
  <pageMargins left="0.75" right="0.56" top="0.5" bottom="0.41" header="0.35" footer="0.33"/>
  <pageSetup fitToHeight="1" fitToWidth="1" horizontalDpi="300" verticalDpi="300" orientation="portrait" paperSize="9" scale="7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K48"/>
  <sheetViews>
    <sheetView workbookViewId="0" topLeftCell="A1">
      <selection activeCell="E3" sqref="E3:I3"/>
    </sheetView>
  </sheetViews>
  <sheetFormatPr defaultColWidth="9.140625" defaultRowHeight="12.75"/>
  <cols>
    <col min="1" max="1" width="29.28125" style="0" customWidth="1"/>
    <col min="2" max="9" width="16.7109375" style="0" customWidth="1"/>
    <col min="10" max="11" width="14.00390625" style="0" customWidth="1"/>
  </cols>
  <sheetData>
    <row r="1" spans="1:11" ht="27" customHeight="1">
      <c r="A1" s="16" t="s">
        <v>661</v>
      </c>
      <c r="B1" s="16" t="s">
        <v>661</v>
      </c>
      <c r="C1" s="16" t="s">
        <v>661</v>
      </c>
      <c r="D1" s="16" t="s">
        <v>661</v>
      </c>
      <c r="E1" s="16" t="s">
        <v>661</v>
      </c>
      <c r="F1" s="16" t="s">
        <v>661</v>
      </c>
      <c r="G1" s="16" t="s">
        <v>661</v>
      </c>
      <c r="H1" s="16" t="s">
        <v>661</v>
      </c>
      <c r="I1" s="16" t="s">
        <v>661</v>
      </c>
      <c r="J1" s="16" t="s">
        <v>661</v>
      </c>
      <c r="K1" s="16" t="s">
        <v>661</v>
      </c>
    </row>
    <row r="2" spans="1:11" ht="18" customHeight="1">
      <c r="A2" s="4" t="s">
        <v>272</v>
      </c>
      <c r="B2" s="3"/>
      <c r="C2" s="3"/>
      <c r="D2" s="3"/>
      <c r="E2" s="4"/>
      <c r="F2" s="4" t="s">
        <v>273</v>
      </c>
      <c r="G2" s="4"/>
      <c r="H2" s="4"/>
      <c r="I2" s="4"/>
      <c r="J2" s="11" t="s">
        <v>1</v>
      </c>
      <c r="K2" s="4"/>
    </row>
    <row r="3" spans="1:11" ht="18" customHeight="1">
      <c r="A3" s="13" t="s">
        <v>276</v>
      </c>
      <c r="B3" s="6" t="s">
        <v>314</v>
      </c>
      <c r="C3" s="6" t="s">
        <v>314</v>
      </c>
      <c r="D3" s="6" t="s">
        <v>314</v>
      </c>
      <c r="E3" s="6" t="s">
        <v>278</v>
      </c>
      <c r="F3" s="6" t="s">
        <v>278</v>
      </c>
      <c r="G3" s="6" t="s">
        <v>278</v>
      </c>
      <c r="H3" s="6" t="s">
        <v>278</v>
      </c>
      <c r="I3" s="6" t="s">
        <v>278</v>
      </c>
      <c r="J3" s="6" t="s">
        <v>279</v>
      </c>
      <c r="K3" s="13" t="s">
        <v>36</v>
      </c>
    </row>
    <row r="4" spans="1:11" ht="18" customHeight="1">
      <c r="A4" s="13" t="s">
        <v>276</v>
      </c>
      <c r="B4" s="6" t="s">
        <v>280</v>
      </c>
      <c r="C4" s="6" t="s">
        <v>281</v>
      </c>
      <c r="D4" s="6" t="s">
        <v>427</v>
      </c>
      <c r="E4" s="6" t="s">
        <v>296</v>
      </c>
      <c r="F4" s="6" t="s">
        <v>306</v>
      </c>
      <c r="G4" s="6" t="s">
        <v>307</v>
      </c>
      <c r="H4" s="6" t="s">
        <v>308</v>
      </c>
      <c r="I4" s="6" t="s">
        <v>309</v>
      </c>
      <c r="J4" s="6" t="s">
        <v>279</v>
      </c>
      <c r="K4" s="13" t="s">
        <v>36</v>
      </c>
    </row>
    <row r="5" spans="1:11" ht="18" customHeight="1">
      <c r="A5" s="17" t="s">
        <v>662</v>
      </c>
      <c r="B5" s="8">
        <f>B6+B21+B44</f>
        <v>0</v>
      </c>
      <c r="C5" s="8">
        <f aca="true" t="shared" si="0" ref="C5:I5">C6+C21+C44</f>
        <v>0</v>
      </c>
      <c r="D5" s="8">
        <f t="shared" si="0"/>
        <v>0</v>
      </c>
      <c r="E5" s="8">
        <f t="shared" si="0"/>
        <v>0</v>
      </c>
      <c r="F5" s="8">
        <f t="shared" si="0"/>
        <v>0</v>
      </c>
      <c r="G5" s="8">
        <f t="shared" si="0"/>
        <v>0</v>
      </c>
      <c r="H5" s="8">
        <f t="shared" si="0"/>
        <v>0</v>
      </c>
      <c r="I5" s="8">
        <f t="shared" si="0"/>
        <v>0</v>
      </c>
      <c r="J5" s="14" t="e">
        <f>E5/D5</f>
        <v>#DIV/0!</v>
      </c>
      <c r="K5" s="4"/>
    </row>
    <row r="6" spans="1:11" ht="18" customHeight="1">
      <c r="A6" s="17" t="s">
        <v>663</v>
      </c>
      <c r="B6" s="8">
        <f>B7+SUM(B15:B20)</f>
        <v>0</v>
      </c>
      <c r="C6" s="8">
        <f aca="true" t="shared" si="1" ref="C6:I6">C7+SUM(C15:C20)</f>
        <v>0</v>
      </c>
      <c r="D6" s="8">
        <f t="shared" si="1"/>
        <v>0</v>
      </c>
      <c r="E6" s="8">
        <f t="shared" si="1"/>
        <v>0</v>
      </c>
      <c r="F6" s="8">
        <f t="shared" si="1"/>
        <v>0</v>
      </c>
      <c r="G6" s="8">
        <f t="shared" si="1"/>
        <v>0</v>
      </c>
      <c r="H6" s="8">
        <f t="shared" si="1"/>
        <v>0</v>
      </c>
      <c r="I6" s="8">
        <f t="shared" si="1"/>
        <v>0</v>
      </c>
      <c r="J6" s="14" t="e">
        <f aca="true" t="shared" si="2" ref="J6:J47">E6/D6</f>
        <v>#DIV/0!</v>
      </c>
      <c r="K6" s="4"/>
    </row>
    <row r="7" spans="1:11" ht="18" customHeight="1">
      <c r="A7" s="43" t="s">
        <v>664</v>
      </c>
      <c r="B7" s="8"/>
      <c r="C7" s="8"/>
      <c r="D7" s="8"/>
      <c r="E7" s="8"/>
      <c r="F7" s="8"/>
      <c r="G7" s="8"/>
      <c r="H7" s="8"/>
      <c r="I7" s="8"/>
      <c r="J7" s="14" t="e">
        <f t="shared" si="2"/>
        <v>#DIV/0!</v>
      </c>
      <c r="K7" s="4"/>
    </row>
    <row r="8" spans="1:11" ht="18" customHeight="1">
      <c r="A8" s="43" t="s">
        <v>665</v>
      </c>
      <c r="B8" s="9"/>
      <c r="C8" s="10"/>
      <c r="D8" s="8"/>
      <c r="E8" s="8"/>
      <c r="F8" s="15"/>
      <c r="G8" s="15"/>
      <c r="H8" s="15"/>
      <c r="I8" s="15"/>
      <c r="J8" s="14" t="e">
        <f t="shared" si="2"/>
        <v>#DIV/0!</v>
      </c>
      <c r="K8" s="4"/>
    </row>
    <row r="9" spans="1:11" ht="18" customHeight="1">
      <c r="A9" s="43" t="s">
        <v>666</v>
      </c>
      <c r="B9" s="9"/>
      <c r="C9" s="10"/>
      <c r="D9" s="8"/>
      <c r="E9" s="23">
        <f aca="true" t="shared" si="3" ref="E9:E20">SUM(F9:I9)</f>
        <v>0</v>
      </c>
      <c r="F9" s="23">
        <f>SUM(F10:F12)</f>
        <v>0</v>
      </c>
      <c r="G9" s="23">
        <f>SUM(G10:G12)</f>
        <v>0</v>
      </c>
      <c r="H9" s="23">
        <f>SUM(H10:H12)</f>
        <v>0</v>
      </c>
      <c r="I9" s="23">
        <f>SUM(I10:I12)</f>
        <v>0</v>
      </c>
      <c r="J9" s="14" t="e">
        <f t="shared" si="2"/>
        <v>#DIV/0!</v>
      </c>
      <c r="K9" s="4"/>
    </row>
    <row r="10" spans="1:11" ht="18" customHeight="1">
      <c r="A10" s="45" t="s">
        <v>667</v>
      </c>
      <c r="B10" s="9"/>
      <c r="C10" s="10"/>
      <c r="D10" s="8"/>
      <c r="E10" s="8">
        <f t="shared" si="3"/>
        <v>0</v>
      </c>
      <c r="F10" s="10"/>
      <c r="G10" s="10"/>
      <c r="H10" s="10"/>
      <c r="I10" s="10"/>
      <c r="J10" s="14" t="e">
        <f t="shared" si="2"/>
        <v>#DIV/0!</v>
      </c>
      <c r="K10" s="4"/>
    </row>
    <row r="11" spans="1:11" ht="18" customHeight="1">
      <c r="A11" s="45" t="s">
        <v>668</v>
      </c>
      <c r="B11" s="9"/>
      <c r="C11" s="10"/>
      <c r="D11" s="8"/>
      <c r="E11" s="8">
        <f t="shared" si="3"/>
        <v>0</v>
      </c>
      <c r="F11" s="10"/>
      <c r="G11" s="10"/>
      <c r="H11" s="10"/>
      <c r="I11" s="10"/>
      <c r="J11" s="14" t="e">
        <f t="shared" si="2"/>
        <v>#DIV/0!</v>
      </c>
      <c r="K11" s="4"/>
    </row>
    <row r="12" spans="1:11" ht="18" customHeight="1">
      <c r="A12" s="45" t="s">
        <v>669</v>
      </c>
      <c r="B12" s="9"/>
      <c r="C12" s="10"/>
      <c r="D12" s="8"/>
      <c r="E12" s="8">
        <f t="shared" si="3"/>
        <v>0</v>
      </c>
      <c r="F12" s="10"/>
      <c r="G12" s="10"/>
      <c r="H12" s="10"/>
      <c r="I12" s="10"/>
      <c r="J12" s="14" t="e">
        <f t="shared" si="2"/>
        <v>#DIV/0!</v>
      </c>
      <c r="K12" s="4"/>
    </row>
    <row r="13" spans="1:11" ht="18" customHeight="1">
      <c r="A13" s="43" t="s">
        <v>670</v>
      </c>
      <c r="B13" s="9"/>
      <c r="C13" s="10"/>
      <c r="D13" s="8"/>
      <c r="E13" s="8">
        <f t="shared" si="3"/>
        <v>0</v>
      </c>
      <c r="F13" s="10"/>
      <c r="G13" s="10"/>
      <c r="H13" s="10"/>
      <c r="I13" s="10"/>
      <c r="J13" s="14" t="e">
        <f t="shared" si="2"/>
        <v>#DIV/0!</v>
      </c>
      <c r="K13" s="4"/>
    </row>
    <row r="14" spans="1:11" ht="18" customHeight="1">
      <c r="A14" s="43" t="s">
        <v>671</v>
      </c>
      <c r="B14" s="9"/>
      <c r="C14" s="10"/>
      <c r="D14" s="8"/>
      <c r="E14" s="8">
        <f t="shared" si="3"/>
        <v>0</v>
      </c>
      <c r="F14" s="10"/>
      <c r="G14" s="10"/>
      <c r="H14" s="10"/>
      <c r="I14" s="10"/>
      <c r="J14" s="14" t="e">
        <f t="shared" si="2"/>
        <v>#DIV/0!</v>
      </c>
      <c r="K14" s="4"/>
    </row>
    <row r="15" spans="1:11" ht="18" customHeight="1">
      <c r="A15" s="43" t="s">
        <v>672</v>
      </c>
      <c r="B15" s="9"/>
      <c r="C15" s="10"/>
      <c r="D15" s="8"/>
      <c r="E15" s="8">
        <f t="shared" si="3"/>
        <v>0</v>
      </c>
      <c r="F15" s="10"/>
      <c r="G15" s="10"/>
      <c r="H15" s="10"/>
      <c r="I15" s="10"/>
      <c r="J15" s="14" t="e">
        <f t="shared" si="2"/>
        <v>#DIV/0!</v>
      </c>
      <c r="K15" s="4"/>
    </row>
    <row r="16" spans="1:11" ht="18" customHeight="1">
      <c r="A16" s="43" t="s">
        <v>673</v>
      </c>
      <c r="B16" s="9"/>
      <c r="C16" s="10"/>
      <c r="D16" s="8"/>
      <c r="E16" s="8">
        <f t="shared" si="3"/>
        <v>0</v>
      </c>
      <c r="F16" s="49"/>
      <c r="G16" s="49"/>
      <c r="H16" s="49"/>
      <c r="I16" s="49"/>
      <c r="J16" s="14" t="e">
        <f t="shared" si="2"/>
        <v>#DIV/0!</v>
      </c>
      <c r="K16" s="4"/>
    </row>
    <row r="17" spans="1:11" ht="18" customHeight="1">
      <c r="A17" s="43" t="s">
        <v>674</v>
      </c>
      <c r="B17" s="9"/>
      <c r="C17" s="10"/>
      <c r="D17" s="8"/>
      <c r="E17" s="8">
        <f t="shared" si="3"/>
        <v>0</v>
      </c>
      <c r="F17" s="23">
        <f>CEILING((F8+F10+F13)*12%,1)</f>
        <v>0</v>
      </c>
      <c r="G17" s="23">
        <f>CEILING((G8+G10+G13)*12%,1)</f>
        <v>0</v>
      </c>
      <c r="H17" s="23">
        <f>CEILING((H8+H10+H13)*12%,1)</f>
        <v>0</v>
      </c>
      <c r="I17" s="23">
        <f>CEILING((I8+I10+I13)*12%,1)</f>
        <v>0</v>
      </c>
      <c r="J17" s="14" t="e">
        <f t="shared" si="2"/>
        <v>#DIV/0!</v>
      </c>
      <c r="K17" s="4"/>
    </row>
    <row r="18" spans="1:11" ht="18" customHeight="1">
      <c r="A18" s="43" t="s">
        <v>675</v>
      </c>
      <c r="B18" s="9"/>
      <c r="C18" s="10"/>
      <c r="D18" s="8">
        <f>B18+C18</f>
        <v>0</v>
      </c>
      <c r="E18" s="8">
        <f t="shared" si="3"/>
        <v>0</v>
      </c>
      <c r="F18" s="47"/>
      <c r="G18" s="47"/>
      <c r="H18" s="47"/>
      <c r="I18" s="47"/>
      <c r="J18" s="14" t="e">
        <f t="shared" si="2"/>
        <v>#DIV/0!</v>
      </c>
      <c r="K18" s="4"/>
    </row>
    <row r="19" spans="1:11" ht="18" customHeight="1">
      <c r="A19" s="43" t="s">
        <v>676</v>
      </c>
      <c r="B19" s="9"/>
      <c r="C19" s="10"/>
      <c r="D19" s="8">
        <f>B19+C19</f>
        <v>0</v>
      </c>
      <c r="E19" s="8"/>
      <c r="F19" s="47"/>
      <c r="G19" s="47"/>
      <c r="H19" s="47"/>
      <c r="I19" s="47"/>
      <c r="J19" s="14" t="e">
        <f t="shared" si="2"/>
        <v>#DIV/0!</v>
      </c>
      <c r="K19" s="4"/>
    </row>
    <row r="20" spans="1:11" ht="18" customHeight="1">
      <c r="A20" s="17" t="s">
        <v>677</v>
      </c>
      <c r="B20" s="9"/>
      <c r="C20" s="10"/>
      <c r="D20" s="8">
        <f>B20+C20</f>
        <v>0</v>
      </c>
      <c r="E20" s="8">
        <f t="shared" si="3"/>
        <v>0</v>
      </c>
      <c r="F20" s="10"/>
      <c r="G20" s="10"/>
      <c r="H20" s="10"/>
      <c r="I20" s="10"/>
      <c r="J20" s="14" t="e">
        <f t="shared" si="2"/>
        <v>#DIV/0!</v>
      </c>
      <c r="K20" s="4"/>
    </row>
    <row r="21" spans="1:11" ht="18" customHeight="1">
      <c r="A21" s="17" t="s">
        <v>678</v>
      </c>
      <c r="B21" s="8">
        <f>SUM(B22:B43)</f>
        <v>0</v>
      </c>
      <c r="C21" s="8">
        <f aca="true" t="shared" si="4" ref="C21:I21">SUM(C22:C43)</f>
        <v>0</v>
      </c>
      <c r="D21" s="8">
        <f t="shared" si="4"/>
        <v>0</v>
      </c>
      <c r="E21" s="8">
        <f t="shared" si="4"/>
        <v>0</v>
      </c>
      <c r="F21" s="8">
        <f t="shared" si="4"/>
        <v>0</v>
      </c>
      <c r="G21" s="8">
        <f t="shared" si="4"/>
        <v>0</v>
      </c>
      <c r="H21" s="8">
        <f t="shared" si="4"/>
        <v>0</v>
      </c>
      <c r="I21" s="8">
        <f t="shared" si="4"/>
        <v>0</v>
      </c>
      <c r="J21" s="14" t="e">
        <f t="shared" si="2"/>
        <v>#DIV/0!</v>
      </c>
      <c r="K21" s="4"/>
    </row>
    <row r="22" spans="1:11" ht="18" customHeight="1">
      <c r="A22" s="17" t="s">
        <v>679</v>
      </c>
      <c r="B22" s="9"/>
      <c r="C22" s="10"/>
      <c r="D22" s="8">
        <f>B22+C22</f>
        <v>0</v>
      </c>
      <c r="E22" s="8">
        <f>SUM(F22:I22)</f>
        <v>0</v>
      </c>
      <c r="F22" s="10"/>
      <c r="G22" s="10"/>
      <c r="H22" s="10"/>
      <c r="I22" s="10"/>
      <c r="J22" s="14" t="e">
        <f t="shared" si="2"/>
        <v>#DIV/0!</v>
      </c>
      <c r="K22" s="4"/>
    </row>
    <row r="23" spans="1:11" ht="18" customHeight="1">
      <c r="A23" s="17" t="s">
        <v>680</v>
      </c>
      <c r="B23" s="9"/>
      <c r="C23" s="10"/>
      <c r="D23" s="8">
        <f aca="true" t="shared" si="5" ref="D23:D43">B23+C23</f>
        <v>0</v>
      </c>
      <c r="E23" s="8">
        <f aca="true" t="shared" si="6" ref="E23:E43">SUM(F23:I23)</f>
        <v>0</v>
      </c>
      <c r="F23" s="10"/>
      <c r="G23" s="10"/>
      <c r="H23" s="10"/>
      <c r="I23" s="10"/>
      <c r="J23" s="14" t="e">
        <f t="shared" si="2"/>
        <v>#DIV/0!</v>
      </c>
      <c r="K23" s="4"/>
    </row>
    <row r="24" spans="1:11" ht="18" customHeight="1">
      <c r="A24" s="17" t="s">
        <v>681</v>
      </c>
      <c r="B24" s="9"/>
      <c r="C24" s="10"/>
      <c r="D24" s="8">
        <f t="shared" si="5"/>
        <v>0</v>
      </c>
      <c r="E24" s="8">
        <f t="shared" si="6"/>
        <v>0</v>
      </c>
      <c r="F24" s="10"/>
      <c r="G24" s="10"/>
      <c r="H24" s="10"/>
      <c r="I24" s="10"/>
      <c r="J24" s="14" t="e">
        <f t="shared" si="2"/>
        <v>#DIV/0!</v>
      </c>
      <c r="K24" s="4"/>
    </row>
    <row r="25" spans="1:11" ht="18" customHeight="1">
      <c r="A25" s="17" t="s">
        <v>682</v>
      </c>
      <c r="B25" s="9"/>
      <c r="C25" s="10"/>
      <c r="D25" s="8">
        <f t="shared" si="5"/>
        <v>0</v>
      </c>
      <c r="E25" s="8">
        <f t="shared" si="6"/>
        <v>0</v>
      </c>
      <c r="F25" s="10"/>
      <c r="G25" s="10"/>
      <c r="H25" s="10"/>
      <c r="I25" s="10"/>
      <c r="J25" s="14" t="e">
        <f t="shared" si="2"/>
        <v>#DIV/0!</v>
      </c>
      <c r="K25" s="4"/>
    </row>
    <row r="26" spans="1:11" ht="18" customHeight="1">
      <c r="A26" s="17" t="s">
        <v>683</v>
      </c>
      <c r="B26" s="9"/>
      <c r="C26" s="10"/>
      <c r="D26" s="8">
        <f t="shared" si="5"/>
        <v>0</v>
      </c>
      <c r="E26" s="8">
        <f t="shared" si="6"/>
        <v>0</v>
      </c>
      <c r="F26" s="10"/>
      <c r="G26" s="10"/>
      <c r="H26" s="10"/>
      <c r="I26" s="10"/>
      <c r="J26" s="14" t="e">
        <f t="shared" si="2"/>
        <v>#DIV/0!</v>
      </c>
      <c r="K26" s="4"/>
    </row>
    <row r="27" spans="1:11" ht="18" customHeight="1">
      <c r="A27" s="17" t="s">
        <v>684</v>
      </c>
      <c r="B27" s="9"/>
      <c r="C27" s="10"/>
      <c r="D27" s="8">
        <f t="shared" si="5"/>
        <v>0</v>
      </c>
      <c r="E27" s="8">
        <f t="shared" si="6"/>
        <v>0</v>
      </c>
      <c r="F27" s="10"/>
      <c r="G27" s="10"/>
      <c r="H27" s="10"/>
      <c r="I27" s="10"/>
      <c r="J27" s="14" t="e">
        <f t="shared" si="2"/>
        <v>#DIV/0!</v>
      </c>
      <c r="K27" s="4"/>
    </row>
    <row r="28" spans="1:11" ht="18" customHeight="1">
      <c r="A28" s="17" t="s">
        <v>685</v>
      </c>
      <c r="B28" s="9"/>
      <c r="C28" s="10"/>
      <c r="D28" s="8">
        <f t="shared" si="5"/>
        <v>0</v>
      </c>
      <c r="E28" s="8">
        <f t="shared" si="6"/>
        <v>0</v>
      </c>
      <c r="F28" s="10"/>
      <c r="G28" s="10"/>
      <c r="H28" s="10"/>
      <c r="I28" s="10"/>
      <c r="J28" s="14" t="e">
        <f t="shared" si="2"/>
        <v>#DIV/0!</v>
      </c>
      <c r="K28" s="4"/>
    </row>
    <row r="29" spans="1:11" ht="18" customHeight="1">
      <c r="A29" s="17" t="s">
        <v>686</v>
      </c>
      <c r="B29" s="9"/>
      <c r="C29" s="10"/>
      <c r="D29" s="8">
        <f t="shared" si="5"/>
        <v>0</v>
      </c>
      <c r="E29" s="8">
        <f t="shared" si="6"/>
        <v>0</v>
      </c>
      <c r="F29" s="10"/>
      <c r="G29" s="10"/>
      <c r="H29" s="10"/>
      <c r="I29" s="10"/>
      <c r="J29" s="14" t="e">
        <f t="shared" si="2"/>
        <v>#DIV/0!</v>
      </c>
      <c r="K29" s="4"/>
    </row>
    <row r="30" spans="1:11" ht="18" customHeight="1">
      <c r="A30" s="17" t="s">
        <v>687</v>
      </c>
      <c r="B30" s="9"/>
      <c r="C30" s="10"/>
      <c r="D30" s="8">
        <f t="shared" si="5"/>
        <v>0</v>
      </c>
      <c r="E30" s="8">
        <f t="shared" si="6"/>
        <v>0</v>
      </c>
      <c r="F30" s="10"/>
      <c r="G30" s="10"/>
      <c r="H30" s="10"/>
      <c r="I30" s="10"/>
      <c r="J30" s="14" t="e">
        <f t="shared" si="2"/>
        <v>#DIV/0!</v>
      </c>
      <c r="K30" s="4"/>
    </row>
    <row r="31" spans="1:11" ht="18" customHeight="1">
      <c r="A31" s="17" t="s">
        <v>688</v>
      </c>
      <c r="B31" s="9"/>
      <c r="C31" s="10"/>
      <c r="D31" s="8">
        <f t="shared" si="5"/>
        <v>0</v>
      </c>
      <c r="E31" s="8">
        <f t="shared" si="6"/>
        <v>0</v>
      </c>
      <c r="F31" s="10"/>
      <c r="G31" s="10"/>
      <c r="H31" s="10"/>
      <c r="I31" s="10"/>
      <c r="J31" s="14" t="e">
        <f t="shared" si="2"/>
        <v>#DIV/0!</v>
      </c>
      <c r="K31" s="4"/>
    </row>
    <row r="32" spans="1:11" ht="18" customHeight="1">
      <c r="A32" s="17" t="s">
        <v>689</v>
      </c>
      <c r="B32" s="9"/>
      <c r="C32" s="10"/>
      <c r="D32" s="8">
        <f t="shared" si="5"/>
        <v>0</v>
      </c>
      <c r="E32" s="8">
        <f t="shared" si="6"/>
        <v>0</v>
      </c>
      <c r="F32" s="10"/>
      <c r="G32" s="10"/>
      <c r="H32" s="10"/>
      <c r="I32" s="10"/>
      <c r="J32" s="14" t="e">
        <f t="shared" si="2"/>
        <v>#DIV/0!</v>
      </c>
      <c r="K32" s="4"/>
    </row>
    <row r="33" spans="1:11" ht="18" customHeight="1">
      <c r="A33" s="17" t="s">
        <v>690</v>
      </c>
      <c r="B33" s="9"/>
      <c r="C33" s="10"/>
      <c r="D33" s="8">
        <f t="shared" si="5"/>
        <v>0</v>
      </c>
      <c r="E33" s="8">
        <f t="shared" si="6"/>
        <v>0</v>
      </c>
      <c r="F33" s="10"/>
      <c r="G33" s="10"/>
      <c r="H33" s="10"/>
      <c r="I33" s="10"/>
      <c r="J33" s="14" t="e">
        <f t="shared" si="2"/>
        <v>#DIV/0!</v>
      </c>
      <c r="K33" s="4"/>
    </row>
    <row r="34" spans="1:11" ht="18" customHeight="1">
      <c r="A34" s="17" t="s">
        <v>691</v>
      </c>
      <c r="B34" s="9"/>
      <c r="C34" s="10"/>
      <c r="D34" s="8">
        <f t="shared" si="5"/>
        <v>0</v>
      </c>
      <c r="E34" s="8">
        <f t="shared" si="6"/>
        <v>0</v>
      </c>
      <c r="F34" s="10"/>
      <c r="G34" s="10"/>
      <c r="H34" s="10"/>
      <c r="I34" s="10"/>
      <c r="J34" s="14" t="e">
        <f t="shared" si="2"/>
        <v>#DIV/0!</v>
      </c>
      <c r="K34" s="4"/>
    </row>
    <row r="35" spans="1:11" ht="18" customHeight="1">
      <c r="A35" s="17" t="s">
        <v>692</v>
      </c>
      <c r="B35" s="9"/>
      <c r="C35" s="10"/>
      <c r="D35" s="8">
        <f t="shared" si="5"/>
        <v>0</v>
      </c>
      <c r="E35" s="8">
        <f t="shared" si="6"/>
        <v>0</v>
      </c>
      <c r="F35" s="10"/>
      <c r="G35" s="10"/>
      <c r="H35" s="10"/>
      <c r="I35" s="10"/>
      <c r="J35" s="14" t="e">
        <f t="shared" si="2"/>
        <v>#DIV/0!</v>
      </c>
      <c r="K35" s="4"/>
    </row>
    <row r="36" spans="1:11" ht="18" customHeight="1">
      <c r="A36" s="17" t="s">
        <v>693</v>
      </c>
      <c r="B36" s="9"/>
      <c r="C36" s="10"/>
      <c r="D36" s="8">
        <f t="shared" si="5"/>
        <v>0</v>
      </c>
      <c r="E36" s="8">
        <f t="shared" si="6"/>
        <v>0</v>
      </c>
      <c r="F36" s="10"/>
      <c r="G36" s="10"/>
      <c r="H36" s="10"/>
      <c r="I36" s="10"/>
      <c r="J36" s="14" t="e">
        <f t="shared" si="2"/>
        <v>#DIV/0!</v>
      </c>
      <c r="K36" s="4"/>
    </row>
    <row r="37" spans="1:11" ht="18" customHeight="1">
      <c r="A37" s="17" t="s">
        <v>694</v>
      </c>
      <c r="B37" s="9"/>
      <c r="C37" s="10"/>
      <c r="D37" s="8">
        <f t="shared" si="5"/>
        <v>0</v>
      </c>
      <c r="E37" s="8">
        <f t="shared" si="6"/>
        <v>0</v>
      </c>
      <c r="F37" s="10"/>
      <c r="G37" s="10"/>
      <c r="H37" s="10"/>
      <c r="I37" s="10"/>
      <c r="J37" s="14" t="e">
        <f t="shared" si="2"/>
        <v>#DIV/0!</v>
      </c>
      <c r="K37" s="4"/>
    </row>
    <row r="38" spans="1:11" ht="18" customHeight="1">
      <c r="A38" s="17" t="s">
        <v>695</v>
      </c>
      <c r="B38" s="9"/>
      <c r="C38" s="10"/>
      <c r="D38" s="8">
        <f t="shared" si="5"/>
        <v>0</v>
      </c>
      <c r="E38" s="8">
        <f t="shared" si="6"/>
        <v>0</v>
      </c>
      <c r="F38" s="10"/>
      <c r="G38" s="10"/>
      <c r="H38" s="10"/>
      <c r="I38" s="10"/>
      <c r="J38" s="14" t="e">
        <f t="shared" si="2"/>
        <v>#DIV/0!</v>
      </c>
      <c r="K38" s="4"/>
    </row>
    <row r="39" spans="1:11" ht="18" customHeight="1">
      <c r="A39" s="17" t="s">
        <v>696</v>
      </c>
      <c r="B39" s="9"/>
      <c r="C39" s="10"/>
      <c r="D39" s="8">
        <f t="shared" si="5"/>
        <v>0</v>
      </c>
      <c r="E39" s="8">
        <f t="shared" si="6"/>
        <v>0</v>
      </c>
      <c r="F39" s="10"/>
      <c r="G39" s="10"/>
      <c r="H39" s="10"/>
      <c r="I39" s="10"/>
      <c r="J39" s="14" t="e">
        <f t="shared" si="2"/>
        <v>#DIV/0!</v>
      </c>
      <c r="K39" s="4"/>
    </row>
    <row r="40" spans="1:11" ht="18" customHeight="1">
      <c r="A40" s="17" t="s">
        <v>697</v>
      </c>
      <c r="B40" s="9"/>
      <c r="C40" s="10"/>
      <c r="D40" s="8">
        <f t="shared" si="5"/>
        <v>0</v>
      </c>
      <c r="E40" s="8">
        <f t="shared" si="6"/>
        <v>0</v>
      </c>
      <c r="F40" s="10"/>
      <c r="G40" s="10"/>
      <c r="H40" s="10"/>
      <c r="I40" s="10"/>
      <c r="J40" s="14" t="e">
        <f t="shared" si="2"/>
        <v>#DIV/0!</v>
      </c>
      <c r="K40" s="4"/>
    </row>
    <row r="41" spans="1:11" ht="18" customHeight="1">
      <c r="A41" s="17" t="s">
        <v>698</v>
      </c>
      <c r="B41" s="9"/>
      <c r="C41" s="10"/>
      <c r="D41" s="8">
        <f t="shared" si="5"/>
        <v>0</v>
      </c>
      <c r="E41" s="8">
        <f t="shared" si="6"/>
        <v>0</v>
      </c>
      <c r="F41" s="10"/>
      <c r="G41" s="10"/>
      <c r="H41" s="10"/>
      <c r="I41" s="10"/>
      <c r="J41" s="14" t="e">
        <f t="shared" si="2"/>
        <v>#DIV/0!</v>
      </c>
      <c r="K41" s="4"/>
    </row>
    <row r="42" spans="1:11" ht="18" customHeight="1">
      <c r="A42" s="17" t="s">
        <v>699</v>
      </c>
      <c r="B42" s="9"/>
      <c r="C42" s="10"/>
      <c r="D42" s="8">
        <f t="shared" si="5"/>
        <v>0</v>
      </c>
      <c r="E42" s="8">
        <f t="shared" si="6"/>
        <v>0</v>
      </c>
      <c r="F42" s="10"/>
      <c r="G42" s="10"/>
      <c r="H42" s="10"/>
      <c r="I42" s="10"/>
      <c r="J42" s="14" t="e">
        <f t="shared" si="2"/>
        <v>#DIV/0!</v>
      </c>
      <c r="K42" s="4"/>
    </row>
    <row r="43" spans="1:11" ht="18" customHeight="1">
      <c r="A43" s="17" t="s">
        <v>677</v>
      </c>
      <c r="B43" s="9"/>
      <c r="C43" s="10"/>
      <c r="D43" s="8">
        <f t="shared" si="5"/>
        <v>0</v>
      </c>
      <c r="E43" s="8">
        <f t="shared" si="6"/>
        <v>0</v>
      </c>
      <c r="F43" s="10"/>
      <c r="G43" s="10"/>
      <c r="H43" s="10"/>
      <c r="I43" s="10"/>
      <c r="J43" s="14" t="e">
        <f t="shared" si="2"/>
        <v>#DIV/0!</v>
      </c>
      <c r="K43" s="4"/>
    </row>
    <row r="44" spans="1:11" ht="18" customHeight="1">
      <c r="A44" s="17" t="s">
        <v>700</v>
      </c>
      <c r="B44" s="8">
        <f>SUM(B45:B47)</f>
        <v>0</v>
      </c>
      <c r="C44" s="8">
        <f aca="true" t="shared" si="7" ref="C44:I44">SUM(C45:C47)</f>
        <v>0</v>
      </c>
      <c r="D44" s="8">
        <f t="shared" si="7"/>
        <v>0</v>
      </c>
      <c r="E44" s="8">
        <f t="shared" si="7"/>
        <v>0</v>
      </c>
      <c r="F44" s="8">
        <f t="shared" si="7"/>
        <v>0</v>
      </c>
      <c r="G44" s="8">
        <f t="shared" si="7"/>
        <v>0</v>
      </c>
      <c r="H44" s="8">
        <f t="shared" si="7"/>
        <v>0</v>
      </c>
      <c r="I44" s="8">
        <f t="shared" si="7"/>
        <v>0</v>
      </c>
      <c r="J44" s="14" t="e">
        <f t="shared" si="2"/>
        <v>#DIV/0!</v>
      </c>
      <c r="K44" s="4"/>
    </row>
    <row r="45" spans="1:11" ht="18" customHeight="1">
      <c r="A45" s="17" t="s">
        <v>701</v>
      </c>
      <c r="B45" s="9"/>
      <c r="C45" s="10"/>
      <c r="D45" s="8">
        <f>B45+C45</f>
        <v>0</v>
      </c>
      <c r="E45" s="8">
        <f>SUM(F45:I45)</f>
        <v>0</v>
      </c>
      <c r="F45" s="10"/>
      <c r="G45" s="10"/>
      <c r="H45" s="10"/>
      <c r="I45" s="10"/>
      <c r="J45" s="14" t="e">
        <f t="shared" si="2"/>
        <v>#DIV/0!</v>
      </c>
      <c r="K45" s="4"/>
    </row>
    <row r="46" spans="1:11" ht="18" customHeight="1">
      <c r="A46" s="17" t="s">
        <v>702</v>
      </c>
      <c r="B46" s="9"/>
      <c r="C46" s="10"/>
      <c r="D46" s="8">
        <f>B46+C46</f>
        <v>0</v>
      </c>
      <c r="E46" s="8">
        <f>SUM(F46:I46)</f>
        <v>0</v>
      </c>
      <c r="F46" s="10"/>
      <c r="G46" s="10"/>
      <c r="H46" s="10"/>
      <c r="I46" s="10"/>
      <c r="J46" s="14" t="e">
        <f t="shared" si="2"/>
        <v>#DIV/0!</v>
      </c>
      <c r="K46" s="4"/>
    </row>
    <row r="47" spans="1:11" ht="18" customHeight="1">
      <c r="A47" s="17" t="s">
        <v>703</v>
      </c>
      <c r="B47" s="9"/>
      <c r="C47" s="10"/>
      <c r="D47" s="8">
        <f>B47+C47</f>
        <v>0</v>
      </c>
      <c r="E47" s="8">
        <f>SUM(F47:I47)</f>
        <v>0</v>
      </c>
      <c r="F47" s="10"/>
      <c r="G47" s="10"/>
      <c r="H47" s="10"/>
      <c r="I47" s="10"/>
      <c r="J47" s="14" t="e">
        <f t="shared" si="2"/>
        <v>#DIV/0!</v>
      </c>
      <c r="K47" s="4"/>
    </row>
    <row r="48" spans="1:11" ht="18" customHeight="1">
      <c r="A48" s="4"/>
      <c r="B48" s="11"/>
      <c r="C48" s="12" t="s">
        <v>310</v>
      </c>
      <c r="D48" s="4"/>
      <c r="E48" s="4"/>
      <c r="F48" s="11"/>
      <c r="G48" s="21" t="s">
        <v>328</v>
      </c>
      <c r="H48" s="4"/>
      <c r="I48" s="4"/>
      <c r="J48" s="4"/>
      <c r="K48" s="4"/>
    </row>
  </sheetData>
  <sheetProtection/>
  <mergeCells count="7">
    <mergeCell ref="A1:K1"/>
    <mergeCell ref="B2:D2"/>
    <mergeCell ref="B3:D3"/>
    <mergeCell ref="E3:I3"/>
    <mergeCell ref="A3:A4"/>
    <mergeCell ref="J3:J4"/>
    <mergeCell ref="K3:K4"/>
  </mergeCells>
  <printOptions/>
  <pageMargins left="0.75" right="0.75" top="1" bottom="1" header="0.5" footer="0.5"/>
  <pageSetup horizontalDpi="300" verticalDpi="300" orientation="portrait"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P79"/>
  <sheetViews>
    <sheetView workbookViewId="0" topLeftCell="A1">
      <selection activeCell="F69" sqref="F69:F70"/>
    </sheetView>
  </sheetViews>
  <sheetFormatPr defaultColWidth="9.140625" defaultRowHeight="12.75"/>
  <cols>
    <col min="1" max="1" width="22.00390625" style="0" customWidth="1"/>
    <col min="2" max="3" width="13.8515625" style="33" customWidth="1"/>
    <col min="4" max="9" width="13.8515625" style="0" customWidth="1"/>
    <col min="10" max="10" width="10.140625" style="0" customWidth="1"/>
    <col min="11" max="11" width="10.7109375" style="0" customWidth="1"/>
  </cols>
  <sheetData>
    <row r="1" spans="1:11" ht="18" customHeight="1">
      <c r="A1" s="34" t="s">
        <v>704</v>
      </c>
      <c r="B1" s="35" t="s">
        <v>704</v>
      </c>
      <c r="C1" s="35" t="s">
        <v>704</v>
      </c>
      <c r="D1" s="34" t="s">
        <v>704</v>
      </c>
      <c r="E1" s="34" t="s">
        <v>704</v>
      </c>
      <c r="F1" s="34" t="s">
        <v>704</v>
      </c>
      <c r="G1" s="34" t="s">
        <v>704</v>
      </c>
      <c r="H1" s="34" t="s">
        <v>704</v>
      </c>
      <c r="I1" s="34" t="s">
        <v>704</v>
      </c>
      <c r="J1" s="34" t="s">
        <v>704</v>
      </c>
      <c r="K1" s="34" t="s">
        <v>704</v>
      </c>
    </row>
    <row r="2" spans="1:11" ht="18" customHeight="1">
      <c r="A2" s="36" t="s">
        <v>272</v>
      </c>
      <c r="B2" s="37"/>
      <c r="C2" s="37"/>
      <c r="D2" s="38"/>
      <c r="E2" s="36"/>
      <c r="F2" s="36" t="s">
        <v>273</v>
      </c>
      <c r="G2" s="39"/>
      <c r="H2" s="36"/>
      <c r="I2" s="36"/>
      <c r="J2" s="51" t="s">
        <v>1</v>
      </c>
      <c r="K2" s="36"/>
    </row>
    <row r="3" spans="1:11" ht="18" customHeight="1">
      <c r="A3" s="40" t="s">
        <v>276</v>
      </c>
      <c r="B3" s="41" t="s">
        <v>314</v>
      </c>
      <c r="C3" s="41" t="s">
        <v>314</v>
      </c>
      <c r="D3" s="41" t="s">
        <v>314</v>
      </c>
      <c r="E3" s="41" t="s">
        <v>278</v>
      </c>
      <c r="F3" s="41" t="s">
        <v>278</v>
      </c>
      <c r="G3" s="41" t="s">
        <v>278</v>
      </c>
      <c r="H3" s="41" t="s">
        <v>278</v>
      </c>
      <c r="I3" s="41" t="s">
        <v>278</v>
      </c>
      <c r="J3" s="41" t="s">
        <v>279</v>
      </c>
      <c r="K3" s="40" t="s">
        <v>36</v>
      </c>
    </row>
    <row r="4" spans="1:11" ht="18" customHeight="1">
      <c r="A4" s="40" t="s">
        <v>276</v>
      </c>
      <c r="B4" s="42" t="s">
        <v>280</v>
      </c>
      <c r="C4" s="42" t="s">
        <v>281</v>
      </c>
      <c r="D4" s="41" t="s">
        <v>427</v>
      </c>
      <c r="E4" s="41" t="s">
        <v>296</v>
      </c>
      <c r="F4" s="41" t="s">
        <v>306</v>
      </c>
      <c r="G4" s="41" t="s">
        <v>307</v>
      </c>
      <c r="H4" s="41" t="s">
        <v>308</v>
      </c>
      <c r="I4" s="41" t="s">
        <v>309</v>
      </c>
      <c r="J4" s="41" t="s">
        <v>279</v>
      </c>
      <c r="K4" s="40" t="s">
        <v>36</v>
      </c>
    </row>
    <row r="5" spans="1:11" ht="18" customHeight="1">
      <c r="A5" s="43" t="s">
        <v>705</v>
      </c>
      <c r="B5" s="44">
        <f aca="true" t="shared" si="0" ref="B5:I5">B6+B23+B67+B68</f>
        <v>492772.06000000006</v>
      </c>
      <c r="C5" s="44">
        <f t="shared" si="0"/>
        <v>142195.08</v>
      </c>
      <c r="D5" s="44">
        <f t="shared" si="0"/>
        <v>634967.14</v>
      </c>
      <c r="E5" s="44">
        <f t="shared" si="0"/>
        <v>911641.9199999999</v>
      </c>
      <c r="F5" s="44">
        <f t="shared" si="0"/>
        <v>213600.47999999998</v>
      </c>
      <c r="G5" s="44">
        <f t="shared" si="0"/>
        <v>270280.48</v>
      </c>
      <c r="H5" s="44">
        <f t="shared" si="0"/>
        <v>214280.47999999998</v>
      </c>
      <c r="I5" s="44">
        <f t="shared" si="0"/>
        <v>213480.47999999998</v>
      </c>
      <c r="J5" s="52">
        <f>E5/D5</f>
        <v>1.4357308631750612</v>
      </c>
      <c r="K5" s="36"/>
    </row>
    <row r="6" spans="1:11" ht="18" customHeight="1">
      <c r="A6" s="45" t="s">
        <v>706</v>
      </c>
      <c r="B6" s="44">
        <f aca="true" t="shared" si="1" ref="B6:I6">B7+B15+B16+B17+B18+B21+B22</f>
        <v>98679.68</v>
      </c>
      <c r="C6" s="44">
        <f t="shared" si="1"/>
        <v>22834.16</v>
      </c>
      <c r="D6" s="44">
        <f t="shared" si="1"/>
        <v>121513.84</v>
      </c>
      <c r="E6" s="44">
        <f t="shared" si="1"/>
        <v>89561.52</v>
      </c>
      <c r="F6" s="44">
        <f t="shared" si="1"/>
        <v>22390.38</v>
      </c>
      <c r="G6" s="44">
        <f t="shared" si="1"/>
        <v>22390.38</v>
      </c>
      <c r="H6" s="44">
        <f t="shared" si="1"/>
        <v>22390.38</v>
      </c>
      <c r="I6" s="44">
        <f t="shared" si="1"/>
        <v>22390.38</v>
      </c>
      <c r="J6" s="52">
        <f aca="true" t="shared" si="2" ref="J6:J72">E6/D6</f>
        <v>0.7370478951204242</v>
      </c>
      <c r="K6" s="36"/>
    </row>
    <row r="7" spans="1:11" ht="18" customHeight="1">
      <c r="A7" s="43" t="s">
        <v>664</v>
      </c>
      <c r="B7" s="44">
        <f>SUM(B8:B9)+B13+B14</f>
        <v>73300</v>
      </c>
      <c r="C7" s="44">
        <f aca="true" t="shared" si="3" ref="C7:I7">SUM(C8:C9)+C13+C14</f>
        <v>15900</v>
      </c>
      <c r="D7" s="44">
        <f t="shared" si="3"/>
        <v>89200</v>
      </c>
      <c r="E7" s="44">
        <f t="shared" si="3"/>
        <v>63600</v>
      </c>
      <c r="F7" s="44">
        <f t="shared" si="3"/>
        <v>15900</v>
      </c>
      <c r="G7" s="44">
        <f t="shared" si="3"/>
        <v>15900</v>
      </c>
      <c r="H7" s="44">
        <f t="shared" si="3"/>
        <v>15900</v>
      </c>
      <c r="I7" s="44">
        <f t="shared" si="3"/>
        <v>15900</v>
      </c>
      <c r="J7" s="52">
        <f t="shared" si="2"/>
        <v>0.7130044843049327</v>
      </c>
      <c r="K7" s="36"/>
    </row>
    <row r="8" spans="1:11" ht="18" customHeight="1">
      <c r="A8" s="43" t="s">
        <v>665</v>
      </c>
      <c r="B8" s="46">
        <v>73300</v>
      </c>
      <c r="C8" s="46">
        <f>10600+5300</f>
        <v>15900</v>
      </c>
      <c r="D8" s="44">
        <f>B8+C8</f>
        <v>89200</v>
      </c>
      <c r="E8" s="44">
        <f>F8+G8+H8+I8</f>
        <v>63600</v>
      </c>
      <c r="F8" s="46">
        <f>'1)人力资源成本预算表'!J23</f>
        <v>15900</v>
      </c>
      <c r="G8" s="46">
        <f>'1)人力资源成本预算表'!J32</f>
        <v>15900</v>
      </c>
      <c r="H8" s="46">
        <f>'1)人力资源成本预算表'!J41</f>
        <v>15900</v>
      </c>
      <c r="I8" s="46">
        <f>'1)人力资源成本预算表'!J50</f>
        <v>15900</v>
      </c>
      <c r="J8" s="52">
        <f t="shared" si="2"/>
        <v>0.7130044843049327</v>
      </c>
      <c r="K8" s="36"/>
    </row>
    <row r="9" spans="1:11" ht="18" customHeight="1">
      <c r="A9" s="43" t="s">
        <v>666</v>
      </c>
      <c r="B9" s="47">
        <f>SUM(B10:B12)</f>
        <v>0</v>
      </c>
      <c r="C9" s="47">
        <f aca="true" t="shared" si="4" ref="C9:I9">SUM(C10:C12)</f>
        <v>0</v>
      </c>
      <c r="D9" s="47">
        <f t="shared" si="4"/>
        <v>0</v>
      </c>
      <c r="E9" s="47">
        <f t="shared" si="4"/>
        <v>0</v>
      </c>
      <c r="F9" s="47">
        <f t="shared" si="4"/>
        <v>0</v>
      </c>
      <c r="G9" s="47">
        <f t="shared" si="4"/>
        <v>0</v>
      </c>
      <c r="H9" s="47">
        <f t="shared" si="4"/>
        <v>0</v>
      </c>
      <c r="I9" s="47">
        <f t="shared" si="4"/>
        <v>0</v>
      </c>
      <c r="J9" s="52" t="e">
        <f t="shared" si="2"/>
        <v>#DIV/0!</v>
      </c>
      <c r="K9" s="36"/>
    </row>
    <row r="10" spans="1:11" ht="18" customHeight="1">
      <c r="A10" s="45" t="s">
        <v>667</v>
      </c>
      <c r="B10" s="46"/>
      <c r="C10" s="46"/>
      <c r="D10" s="44">
        <f aca="true" t="shared" si="5" ref="D10:D17">B10+C10</f>
        <v>0</v>
      </c>
      <c r="E10" s="44">
        <f aca="true" t="shared" si="6" ref="E10:E74">SUM(F10:I10)</f>
        <v>0</v>
      </c>
      <c r="F10" s="48"/>
      <c r="G10" s="48"/>
      <c r="H10" s="48"/>
      <c r="I10" s="48"/>
      <c r="J10" s="52" t="e">
        <f t="shared" si="2"/>
        <v>#DIV/0!</v>
      </c>
      <c r="K10" s="36"/>
    </row>
    <row r="11" spans="1:11" ht="18" customHeight="1">
      <c r="A11" s="45" t="s">
        <v>668</v>
      </c>
      <c r="B11" s="46"/>
      <c r="C11" s="46"/>
      <c r="D11" s="44">
        <f t="shared" si="5"/>
        <v>0</v>
      </c>
      <c r="E11" s="44">
        <f t="shared" si="6"/>
        <v>0</v>
      </c>
      <c r="F11" s="48"/>
      <c r="G11" s="48"/>
      <c r="H11" s="48"/>
      <c r="I11" s="48"/>
      <c r="J11" s="52" t="e">
        <f t="shared" si="2"/>
        <v>#DIV/0!</v>
      </c>
      <c r="K11" s="36"/>
    </row>
    <row r="12" spans="1:11" ht="18" customHeight="1">
      <c r="A12" s="45" t="s">
        <v>669</v>
      </c>
      <c r="B12" s="46"/>
      <c r="C12" s="46"/>
      <c r="D12" s="44">
        <f t="shared" si="5"/>
        <v>0</v>
      </c>
      <c r="E12" s="44">
        <f t="shared" si="6"/>
        <v>0</v>
      </c>
      <c r="F12" s="48"/>
      <c r="G12" s="48"/>
      <c r="H12" s="48"/>
      <c r="I12" s="48"/>
      <c r="J12" s="52" t="e">
        <f t="shared" si="2"/>
        <v>#DIV/0!</v>
      </c>
      <c r="K12" s="36"/>
    </row>
    <row r="13" spans="1:11" ht="18" customHeight="1">
      <c r="A13" s="43" t="s">
        <v>670</v>
      </c>
      <c r="B13" s="46">
        <v>0</v>
      </c>
      <c r="C13" s="46"/>
      <c r="D13" s="44">
        <f t="shared" si="5"/>
        <v>0</v>
      </c>
      <c r="E13" s="44">
        <f t="shared" si="6"/>
        <v>0</v>
      </c>
      <c r="F13" s="46"/>
      <c r="G13" s="48"/>
      <c r="H13" s="48"/>
      <c r="I13" s="48"/>
      <c r="J13" s="52" t="e">
        <f t="shared" si="2"/>
        <v>#DIV/0!</v>
      </c>
      <c r="K13" s="36"/>
    </row>
    <row r="14" spans="1:11" ht="18" customHeight="1">
      <c r="A14" s="43" t="s">
        <v>671</v>
      </c>
      <c r="B14" s="46">
        <v>0</v>
      </c>
      <c r="C14" s="46"/>
      <c r="D14" s="44">
        <f t="shared" si="5"/>
        <v>0</v>
      </c>
      <c r="E14" s="44">
        <f t="shared" si="6"/>
        <v>0</v>
      </c>
      <c r="F14" s="46"/>
      <c r="G14" s="46"/>
      <c r="H14" s="46"/>
      <c r="I14" s="46"/>
      <c r="J14" s="52" t="e">
        <f t="shared" si="2"/>
        <v>#DIV/0!</v>
      </c>
      <c r="K14" s="36"/>
    </row>
    <row r="15" spans="1:11" ht="18" customHeight="1">
      <c r="A15" s="43" t="s">
        <v>672</v>
      </c>
      <c r="B15" s="46">
        <v>0</v>
      </c>
      <c r="C15" s="46"/>
      <c r="D15" s="44">
        <f t="shared" si="5"/>
        <v>0</v>
      </c>
      <c r="E15" s="44">
        <f t="shared" si="6"/>
        <v>0</v>
      </c>
      <c r="F15" s="46"/>
      <c r="G15" s="46"/>
      <c r="H15" s="46"/>
      <c r="I15" s="46"/>
      <c r="J15" s="52" t="e">
        <f t="shared" si="2"/>
        <v>#DIV/0!</v>
      </c>
      <c r="K15" s="36"/>
    </row>
    <row r="16" spans="1:11" ht="18" customHeight="1">
      <c r="A16" s="43" t="s">
        <v>673</v>
      </c>
      <c r="B16" s="46">
        <v>17915.68</v>
      </c>
      <c r="C16" s="46">
        <f>2329.44+1164.72</f>
        <v>3494.16</v>
      </c>
      <c r="D16" s="44">
        <f t="shared" si="5"/>
        <v>21409.84</v>
      </c>
      <c r="E16" s="44">
        <f t="shared" si="6"/>
        <v>16103.52</v>
      </c>
      <c r="F16" s="49">
        <f>'1)人力资源成本预算表'!Q23</f>
        <v>4025.88</v>
      </c>
      <c r="G16" s="49">
        <f>'1)人力资源成本预算表'!Q32</f>
        <v>4025.88</v>
      </c>
      <c r="H16" s="49">
        <f>'1)人力资源成本预算表'!Q41</f>
        <v>4025.88</v>
      </c>
      <c r="I16" s="49">
        <f>'1)人力资源成本预算表'!Q50</f>
        <v>4025.88</v>
      </c>
      <c r="J16" s="52">
        <f t="shared" si="2"/>
        <v>0.7521550838306125</v>
      </c>
      <c r="K16" s="36"/>
    </row>
    <row r="17" spans="1:11" ht="18" customHeight="1">
      <c r="A17" s="43" t="s">
        <v>674</v>
      </c>
      <c r="B17" s="46">
        <v>7464</v>
      </c>
      <c r="C17" s="46">
        <f>552*3</f>
        <v>1656</v>
      </c>
      <c r="D17" s="44">
        <f t="shared" si="5"/>
        <v>9120</v>
      </c>
      <c r="E17" s="44">
        <f t="shared" si="6"/>
        <v>7632</v>
      </c>
      <c r="F17" s="23">
        <f>'1)人力资源成本预算表'!R23</f>
        <v>1908</v>
      </c>
      <c r="G17" s="23">
        <f>'1)人力资源成本预算表'!R32</f>
        <v>1908</v>
      </c>
      <c r="H17" s="23">
        <f>'1)人力资源成本预算表'!R32</f>
        <v>1908</v>
      </c>
      <c r="I17" s="23">
        <f>'1)人力资源成本预算表'!R50</f>
        <v>1908</v>
      </c>
      <c r="J17" s="52">
        <f t="shared" si="2"/>
        <v>0.8368421052631579</v>
      </c>
      <c r="K17" s="36"/>
    </row>
    <row r="18" spans="1:11" ht="18" customHeight="1">
      <c r="A18" s="43" t="s">
        <v>707</v>
      </c>
      <c r="B18" s="47">
        <f aca="true" t="shared" si="7" ref="B18:I18">SUM(B19:B20)</f>
        <v>0</v>
      </c>
      <c r="C18" s="47">
        <f t="shared" si="7"/>
        <v>0</v>
      </c>
      <c r="D18" s="47">
        <f t="shared" si="7"/>
        <v>0</v>
      </c>
      <c r="E18" s="47">
        <f t="shared" si="7"/>
        <v>0</v>
      </c>
      <c r="F18" s="47">
        <f t="shared" si="7"/>
        <v>0</v>
      </c>
      <c r="G18" s="47">
        <f t="shared" si="7"/>
        <v>0</v>
      </c>
      <c r="H18" s="47">
        <f t="shared" si="7"/>
        <v>0</v>
      </c>
      <c r="I18" s="47">
        <f t="shared" si="7"/>
        <v>0</v>
      </c>
      <c r="J18" s="52" t="e">
        <f t="shared" si="2"/>
        <v>#DIV/0!</v>
      </c>
      <c r="K18" s="36"/>
    </row>
    <row r="19" spans="1:11" ht="18" customHeight="1">
      <c r="A19" s="43" t="s">
        <v>708</v>
      </c>
      <c r="B19" s="46"/>
      <c r="C19" s="46"/>
      <c r="D19" s="44">
        <f>B19+C19</f>
        <v>0</v>
      </c>
      <c r="E19" s="44">
        <f t="shared" si="6"/>
        <v>0</v>
      </c>
      <c r="F19" s="46"/>
      <c r="G19" s="46"/>
      <c r="H19" s="46"/>
      <c r="I19" s="46"/>
      <c r="J19" s="52" t="e">
        <f t="shared" si="2"/>
        <v>#DIV/0!</v>
      </c>
      <c r="K19" s="36"/>
    </row>
    <row r="20" spans="1:11" ht="18" customHeight="1">
      <c r="A20" s="43" t="s">
        <v>709</v>
      </c>
      <c r="B20" s="46"/>
      <c r="C20" s="46"/>
      <c r="D20" s="44">
        <f>B20+C20</f>
        <v>0</v>
      </c>
      <c r="E20" s="44">
        <f t="shared" si="6"/>
        <v>0</v>
      </c>
      <c r="F20" s="46"/>
      <c r="G20" s="46"/>
      <c r="H20" s="46"/>
      <c r="I20" s="46"/>
      <c r="J20" s="52" t="e">
        <f t="shared" si="2"/>
        <v>#DIV/0!</v>
      </c>
      <c r="K20" s="36"/>
    </row>
    <row r="21" spans="1:11" ht="18" customHeight="1">
      <c r="A21" s="43" t="s">
        <v>675</v>
      </c>
      <c r="B21" s="46"/>
      <c r="C21" s="46"/>
      <c r="D21" s="44">
        <f>B21+C21</f>
        <v>0</v>
      </c>
      <c r="E21" s="44">
        <f t="shared" si="6"/>
        <v>954</v>
      </c>
      <c r="F21" s="47">
        <f>'1)人力资源成本预算表'!T23</f>
        <v>238.5</v>
      </c>
      <c r="G21" s="47">
        <f>'1)人力资源成本预算表'!T32</f>
        <v>238.5</v>
      </c>
      <c r="H21" s="47">
        <f>'1)人力资源成本预算表'!T41</f>
        <v>238.5</v>
      </c>
      <c r="I21" s="47">
        <f>'1)人力资源成本预算表'!T50</f>
        <v>238.5</v>
      </c>
      <c r="J21" s="52" t="e">
        <f t="shared" si="2"/>
        <v>#DIV/0!</v>
      </c>
      <c r="K21" s="36"/>
    </row>
    <row r="22" spans="1:11" ht="18" customHeight="1">
      <c r="A22" s="43" t="s">
        <v>676</v>
      </c>
      <c r="B22" s="46"/>
      <c r="C22" s="46">
        <f>(D7+D15)*2%</f>
        <v>1784</v>
      </c>
      <c r="D22" s="44">
        <f>B22+C22</f>
        <v>1784</v>
      </c>
      <c r="E22" s="44">
        <f t="shared" si="6"/>
        <v>1272</v>
      </c>
      <c r="F22" s="47">
        <f>'1)人力资源成本预算表'!S23</f>
        <v>318</v>
      </c>
      <c r="G22" s="47">
        <f>'1)人力资源成本预算表'!S32</f>
        <v>318</v>
      </c>
      <c r="H22" s="47">
        <f>'1)人力资源成本预算表'!S32</f>
        <v>318</v>
      </c>
      <c r="I22" s="47">
        <f>'1)人力资源成本预算表'!S42</f>
        <v>318</v>
      </c>
      <c r="J22" s="52">
        <f t="shared" si="2"/>
        <v>0.7130044843049327</v>
      </c>
      <c r="K22" s="36"/>
    </row>
    <row r="23" spans="1:11" ht="18" customHeight="1">
      <c r="A23" s="45" t="s">
        <v>710</v>
      </c>
      <c r="B23" s="47">
        <f aca="true" t="shared" si="8" ref="B23:I23">SUM(B24:B28)+SUM(B33:B46)+SUM(B52:B53)+SUM(B60:B66)</f>
        <v>62412.33</v>
      </c>
      <c r="C23" s="47">
        <f t="shared" si="8"/>
        <v>12531.43</v>
      </c>
      <c r="D23" s="47">
        <f t="shared" si="8"/>
        <v>74943.76000000001</v>
      </c>
      <c r="E23" s="47">
        <f t="shared" si="8"/>
        <v>379380</v>
      </c>
      <c r="F23" s="47">
        <f t="shared" si="8"/>
        <v>80535</v>
      </c>
      <c r="G23" s="47">
        <f t="shared" si="8"/>
        <v>137215</v>
      </c>
      <c r="H23" s="47">
        <f t="shared" si="8"/>
        <v>81215</v>
      </c>
      <c r="I23" s="47">
        <f t="shared" si="8"/>
        <v>80415</v>
      </c>
      <c r="J23" s="52">
        <f t="shared" si="2"/>
        <v>5.062195972019551</v>
      </c>
      <c r="K23" s="36"/>
    </row>
    <row r="24" spans="1:11" ht="18" customHeight="1">
      <c r="A24" s="43" t="s">
        <v>711</v>
      </c>
      <c r="B24" s="46">
        <v>562</v>
      </c>
      <c r="C24" s="46"/>
      <c r="D24" s="44">
        <f>B24+C24</f>
        <v>562</v>
      </c>
      <c r="E24" s="44">
        <f t="shared" si="6"/>
        <v>0</v>
      </c>
      <c r="F24" s="46"/>
      <c r="G24" s="46"/>
      <c r="H24" s="46"/>
      <c r="I24" s="46"/>
      <c r="J24" s="52">
        <f t="shared" si="2"/>
        <v>0</v>
      </c>
      <c r="K24" s="36"/>
    </row>
    <row r="25" spans="1:11" ht="18" customHeight="1">
      <c r="A25" s="43" t="s">
        <v>712</v>
      </c>
      <c r="B25" s="46"/>
      <c r="C25" s="46"/>
      <c r="D25" s="44">
        <f>B25+C25</f>
        <v>0</v>
      </c>
      <c r="E25" s="44">
        <f t="shared" si="6"/>
        <v>0</v>
      </c>
      <c r="F25" s="46"/>
      <c r="G25" s="46"/>
      <c r="H25" s="46"/>
      <c r="I25" s="46"/>
      <c r="J25" s="52" t="e">
        <f t="shared" si="2"/>
        <v>#DIV/0!</v>
      </c>
      <c r="K25" s="36"/>
    </row>
    <row r="26" spans="1:11" ht="18" customHeight="1">
      <c r="A26" s="43" t="s">
        <v>713</v>
      </c>
      <c r="B26" s="46"/>
      <c r="C26" s="46"/>
      <c r="D26" s="44">
        <f>B26+C26</f>
        <v>0</v>
      </c>
      <c r="E26" s="44">
        <f t="shared" si="6"/>
        <v>0</v>
      </c>
      <c r="F26" s="48"/>
      <c r="G26" s="48"/>
      <c r="H26" s="48"/>
      <c r="I26" s="48"/>
      <c r="J26" s="52" t="e">
        <f t="shared" si="2"/>
        <v>#DIV/0!</v>
      </c>
      <c r="K26" s="36"/>
    </row>
    <row r="27" spans="1:11" ht="18" customHeight="1">
      <c r="A27" s="43" t="s">
        <v>714</v>
      </c>
      <c r="B27" s="46"/>
      <c r="C27" s="46"/>
      <c r="D27" s="44">
        <f>B27+C27</f>
        <v>0</v>
      </c>
      <c r="E27" s="44">
        <f t="shared" si="6"/>
        <v>0</v>
      </c>
      <c r="F27" s="48"/>
      <c r="G27" s="48"/>
      <c r="H27" s="48"/>
      <c r="I27" s="48"/>
      <c r="J27" s="52" t="e">
        <f t="shared" si="2"/>
        <v>#DIV/0!</v>
      </c>
      <c r="K27" s="36"/>
    </row>
    <row r="28" spans="1:11" ht="18" customHeight="1">
      <c r="A28" s="43" t="s">
        <v>715</v>
      </c>
      <c r="B28" s="47">
        <f aca="true" t="shared" si="9" ref="B28:I28">SUM(B29:B32)</f>
        <v>11290.330000000002</v>
      </c>
      <c r="C28" s="47">
        <f t="shared" si="9"/>
        <v>7734.43</v>
      </c>
      <c r="D28" s="47">
        <f t="shared" si="9"/>
        <v>19024.760000000002</v>
      </c>
      <c r="E28" s="47">
        <f t="shared" si="9"/>
        <v>250000</v>
      </c>
      <c r="F28" s="47">
        <f t="shared" si="9"/>
        <v>62075</v>
      </c>
      <c r="G28" s="47">
        <f t="shared" si="9"/>
        <v>58575</v>
      </c>
      <c r="H28" s="47">
        <f t="shared" si="9"/>
        <v>62775</v>
      </c>
      <c r="I28" s="47">
        <f t="shared" si="9"/>
        <v>66575</v>
      </c>
      <c r="J28" s="52">
        <f t="shared" si="2"/>
        <v>13.140770238363059</v>
      </c>
      <c r="K28" s="36"/>
    </row>
    <row r="29" spans="1:11" ht="18" customHeight="1">
      <c r="A29" s="43" t="s">
        <v>716</v>
      </c>
      <c r="B29" s="46"/>
      <c r="C29" s="46"/>
      <c r="D29" s="44">
        <f aca="true" t="shared" si="10" ref="D29:D45">B29+C29</f>
        <v>0</v>
      </c>
      <c r="E29" s="44">
        <f>SUM(F29:I29)</f>
        <v>179300</v>
      </c>
      <c r="F29" s="46">
        <v>44825</v>
      </c>
      <c r="G29" s="46">
        <v>44825</v>
      </c>
      <c r="H29" s="46">
        <v>44825</v>
      </c>
      <c r="I29" s="46">
        <v>44825</v>
      </c>
      <c r="J29" s="52" t="e">
        <f t="shared" si="2"/>
        <v>#DIV/0!</v>
      </c>
      <c r="K29" s="36"/>
    </row>
    <row r="30" spans="1:11" ht="18" customHeight="1">
      <c r="A30" s="43" t="s">
        <v>717</v>
      </c>
      <c r="B30" s="46"/>
      <c r="C30" s="46"/>
      <c r="D30" s="44">
        <f t="shared" si="10"/>
        <v>0</v>
      </c>
      <c r="E30" s="44">
        <f>SUM(F30:I30)</f>
        <v>55000</v>
      </c>
      <c r="F30" s="46">
        <v>13750</v>
      </c>
      <c r="G30" s="46">
        <v>13750</v>
      </c>
      <c r="H30" s="46">
        <v>13750</v>
      </c>
      <c r="I30" s="46">
        <v>13750</v>
      </c>
      <c r="J30" s="52" t="e">
        <f t="shared" si="2"/>
        <v>#DIV/0!</v>
      </c>
      <c r="K30" s="36"/>
    </row>
    <row r="31" spans="1:11" ht="18" customHeight="1">
      <c r="A31" s="43" t="s">
        <v>699</v>
      </c>
      <c r="B31" s="46">
        <v>9614.2</v>
      </c>
      <c r="C31" s="46">
        <v>7734.43</v>
      </c>
      <c r="D31" s="44">
        <f t="shared" si="10"/>
        <v>17348.63</v>
      </c>
      <c r="E31" s="44">
        <f>SUM(F31:I31)</f>
        <v>15700</v>
      </c>
      <c r="F31" s="46">
        <v>3500</v>
      </c>
      <c r="G31" s="46"/>
      <c r="H31" s="46">
        <v>4200</v>
      </c>
      <c r="I31" s="46">
        <v>8000</v>
      </c>
      <c r="J31" s="52">
        <f t="shared" si="2"/>
        <v>0.9049705942198317</v>
      </c>
      <c r="K31" s="36"/>
    </row>
    <row r="32" spans="1:11" ht="18" customHeight="1">
      <c r="A32" s="43" t="s">
        <v>718</v>
      </c>
      <c r="B32" s="46">
        <v>1676.13</v>
      </c>
      <c r="C32" s="46"/>
      <c r="D32" s="44">
        <f t="shared" si="10"/>
        <v>1676.13</v>
      </c>
      <c r="E32" s="44">
        <f>SUM(F32:I32)</f>
        <v>0</v>
      </c>
      <c r="F32" s="46"/>
      <c r="G32" s="46"/>
      <c r="H32" s="46"/>
      <c r="I32" s="46"/>
      <c r="J32" s="52">
        <f t="shared" si="2"/>
        <v>0</v>
      </c>
      <c r="K32" s="36"/>
    </row>
    <row r="33" spans="1:11" ht="18" customHeight="1">
      <c r="A33" s="45" t="s">
        <v>719</v>
      </c>
      <c r="B33" s="46"/>
      <c r="C33" s="46"/>
      <c r="D33" s="44">
        <f t="shared" si="10"/>
        <v>0</v>
      </c>
      <c r="E33" s="44">
        <f t="shared" si="6"/>
        <v>0</v>
      </c>
      <c r="F33" s="46"/>
      <c r="G33" s="46"/>
      <c r="H33" s="46"/>
      <c r="I33" s="46"/>
      <c r="J33" s="52" t="e">
        <f t="shared" si="2"/>
        <v>#DIV/0!</v>
      </c>
      <c r="K33" s="36"/>
    </row>
    <row r="34" spans="1:11" ht="18" customHeight="1">
      <c r="A34" s="45" t="s">
        <v>720</v>
      </c>
      <c r="B34" s="46"/>
      <c r="C34" s="46"/>
      <c r="D34" s="44">
        <f t="shared" si="10"/>
        <v>0</v>
      </c>
      <c r="E34" s="44">
        <f t="shared" si="6"/>
        <v>0</v>
      </c>
      <c r="F34" s="46"/>
      <c r="G34" s="46"/>
      <c r="H34" s="46"/>
      <c r="I34" s="46"/>
      <c r="J34" s="52" t="e">
        <f t="shared" si="2"/>
        <v>#DIV/0!</v>
      </c>
      <c r="K34" s="36"/>
    </row>
    <row r="35" spans="1:11" ht="18" customHeight="1">
      <c r="A35" s="45" t="s">
        <v>721</v>
      </c>
      <c r="B35" s="46"/>
      <c r="C35" s="46"/>
      <c r="D35" s="44">
        <f t="shared" si="10"/>
        <v>0</v>
      </c>
      <c r="E35" s="44">
        <f t="shared" si="6"/>
        <v>0</v>
      </c>
      <c r="F35" s="46"/>
      <c r="G35" s="46"/>
      <c r="H35" s="48"/>
      <c r="I35" s="48"/>
      <c r="J35" s="52" t="e">
        <f t="shared" si="2"/>
        <v>#DIV/0!</v>
      </c>
      <c r="K35" s="36"/>
    </row>
    <row r="36" spans="1:11" ht="18" customHeight="1">
      <c r="A36" s="45" t="s">
        <v>722</v>
      </c>
      <c r="B36" s="46"/>
      <c r="C36" s="46">
        <v>300</v>
      </c>
      <c r="D36" s="44">
        <f t="shared" si="10"/>
        <v>300</v>
      </c>
      <c r="E36" s="44">
        <f t="shared" si="6"/>
        <v>0</v>
      </c>
      <c r="F36" s="46"/>
      <c r="G36" s="46"/>
      <c r="H36" s="46"/>
      <c r="I36" s="46"/>
      <c r="J36" s="52">
        <f t="shared" si="2"/>
        <v>0</v>
      </c>
      <c r="K36" s="36"/>
    </row>
    <row r="37" spans="1:11" ht="18" customHeight="1">
      <c r="A37" s="45" t="s">
        <v>723</v>
      </c>
      <c r="B37" s="46"/>
      <c r="C37" s="46"/>
      <c r="D37" s="44">
        <f t="shared" si="10"/>
        <v>0</v>
      </c>
      <c r="E37" s="44">
        <f t="shared" si="6"/>
        <v>0</v>
      </c>
      <c r="F37" s="48"/>
      <c r="G37" s="48"/>
      <c r="H37" s="48"/>
      <c r="I37" s="48"/>
      <c r="J37" s="52" t="e">
        <f t="shared" si="2"/>
        <v>#DIV/0!</v>
      </c>
      <c r="K37" s="36"/>
    </row>
    <row r="38" spans="1:11" ht="18" customHeight="1">
      <c r="A38" s="45" t="s">
        <v>724</v>
      </c>
      <c r="B38" s="46"/>
      <c r="C38" s="46"/>
      <c r="D38" s="44">
        <f t="shared" si="10"/>
        <v>0</v>
      </c>
      <c r="E38" s="44">
        <f t="shared" si="6"/>
        <v>0</v>
      </c>
      <c r="F38" s="48"/>
      <c r="G38" s="48"/>
      <c r="H38" s="48"/>
      <c r="I38" s="48"/>
      <c r="J38" s="52" t="e">
        <f t="shared" si="2"/>
        <v>#DIV/0!</v>
      </c>
      <c r="K38" s="36"/>
    </row>
    <row r="39" spans="1:11" ht="18" customHeight="1">
      <c r="A39" s="45" t="s">
        <v>725</v>
      </c>
      <c r="B39" s="46"/>
      <c r="C39" s="46">
        <v>2100</v>
      </c>
      <c r="D39" s="44">
        <f t="shared" si="10"/>
        <v>2100</v>
      </c>
      <c r="E39" s="44">
        <f t="shared" si="6"/>
        <v>4800</v>
      </c>
      <c r="F39" s="46"/>
      <c r="G39" s="46"/>
      <c r="H39" s="46">
        <v>800</v>
      </c>
      <c r="I39" s="46">
        <v>4000</v>
      </c>
      <c r="J39" s="52">
        <f t="shared" si="2"/>
        <v>2.2857142857142856</v>
      </c>
      <c r="K39" s="36"/>
    </row>
    <row r="40" spans="1:11" ht="18" customHeight="1">
      <c r="A40" s="45" t="s">
        <v>726</v>
      </c>
      <c r="B40" s="46">
        <v>1600</v>
      </c>
      <c r="C40" s="46">
        <v>1197</v>
      </c>
      <c r="D40" s="44">
        <f t="shared" si="10"/>
        <v>2797</v>
      </c>
      <c r="E40" s="44">
        <f t="shared" si="6"/>
        <v>0</v>
      </c>
      <c r="F40" s="46"/>
      <c r="G40" s="46"/>
      <c r="H40" s="46"/>
      <c r="I40" s="46"/>
      <c r="J40" s="52">
        <f t="shared" si="2"/>
        <v>0</v>
      </c>
      <c r="K40" s="36"/>
    </row>
    <row r="41" spans="1:11" ht="18" customHeight="1">
      <c r="A41" s="45" t="s">
        <v>727</v>
      </c>
      <c r="B41" s="46"/>
      <c r="C41" s="46"/>
      <c r="D41" s="44">
        <f t="shared" si="10"/>
        <v>0</v>
      </c>
      <c r="E41" s="44">
        <f t="shared" si="6"/>
        <v>0</v>
      </c>
      <c r="F41" s="48"/>
      <c r="G41" s="48"/>
      <c r="H41" s="48"/>
      <c r="I41" s="48"/>
      <c r="J41" s="52" t="e">
        <f t="shared" si="2"/>
        <v>#DIV/0!</v>
      </c>
      <c r="K41" s="36"/>
    </row>
    <row r="42" spans="1:11" ht="18" customHeight="1">
      <c r="A42" s="45" t="s">
        <v>728</v>
      </c>
      <c r="B42" s="46"/>
      <c r="C42" s="46"/>
      <c r="D42" s="44">
        <f t="shared" si="10"/>
        <v>0</v>
      </c>
      <c r="E42" s="44">
        <f t="shared" si="6"/>
        <v>0</v>
      </c>
      <c r="F42" s="48"/>
      <c r="G42" s="48"/>
      <c r="H42" s="48"/>
      <c r="I42" s="48"/>
      <c r="J42" s="52" t="e">
        <f t="shared" si="2"/>
        <v>#DIV/0!</v>
      </c>
      <c r="K42" s="36"/>
    </row>
    <row r="43" spans="1:11" ht="18" customHeight="1">
      <c r="A43" s="45" t="s">
        <v>729</v>
      </c>
      <c r="B43" s="46"/>
      <c r="C43" s="46"/>
      <c r="D43" s="44">
        <f t="shared" si="10"/>
        <v>0</v>
      </c>
      <c r="E43" s="44">
        <f t="shared" si="6"/>
        <v>0</v>
      </c>
      <c r="F43" s="46"/>
      <c r="G43" s="46"/>
      <c r="H43" s="46"/>
      <c r="I43" s="46"/>
      <c r="J43" s="52" t="e">
        <f t="shared" si="2"/>
        <v>#DIV/0!</v>
      </c>
      <c r="K43" s="36"/>
    </row>
    <row r="44" spans="1:11" ht="18" customHeight="1">
      <c r="A44" s="45" t="s">
        <v>730</v>
      </c>
      <c r="B44" s="46"/>
      <c r="C44" s="46"/>
      <c r="D44" s="44">
        <f t="shared" si="10"/>
        <v>0</v>
      </c>
      <c r="E44" s="44">
        <f t="shared" si="6"/>
        <v>0</v>
      </c>
      <c r="F44" s="48"/>
      <c r="G44" s="48"/>
      <c r="H44" s="48"/>
      <c r="I44" s="48"/>
      <c r="J44" s="52" t="e">
        <f t="shared" si="2"/>
        <v>#DIV/0!</v>
      </c>
      <c r="K44" s="36"/>
    </row>
    <row r="45" spans="1:11" ht="18" customHeight="1">
      <c r="A45" s="45" t="s">
        <v>731</v>
      </c>
      <c r="B45" s="46"/>
      <c r="C45" s="46"/>
      <c r="D45" s="44">
        <f t="shared" si="10"/>
        <v>0</v>
      </c>
      <c r="E45" s="44">
        <f t="shared" si="6"/>
        <v>0</v>
      </c>
      <c r="F45" s="46"/>
      <c r="G45" s="46"/>
      <c r="H45" s="46"/>
      <c r="I45" s="46"/>
      <c r="J45" s="52" t="e">
        <f t="shared" si="2"/>
        <v>#DIV/0!</v>
      </c>
      <c r="K45" s="36"/>
    </row>
    <row r="46" spans="1:11" ht="18" customHeight="1">
      <c r="A46" s="45" t="s">
        <v>732</v>
      </c>
      <c r="B46" s="47">
        <f aca="true" t="shared" si="11" ref="B46:I46">SUM(B47:B51)</f>
        <v>48960</v>
      </c>
      <c r="C46" s="47">
        <f t="shared" si="11"/>
        <v>0</v>
      </c>
      <c r="D46" s="47">
        <f t="shared" si="11"/>
        <v>48960</v>
      </c>
      <c r="E46" s="47">
        <f t="shared" si="11"/>
        <v>75000</v>
      </c>
      <c r="F46" s="47">
        <f t="shared" si="11"/>
        <v>5000</v>
      </c>
      <c r="G46" s="47">
        <f t="shared" si="11"/>
        <v>66000</v>
      </c>
      <c r="H46" s="47">
        <f t="shared" si="11"/>
        <v>4000</v>
      </c>
      <c r="I46" s="47">
        <f t="shared" si="11"/>
        <v>0</v>
      </c>
      <c r="J46" s="52">
        <f t="shared" si="2"/>
        <v>1.5318627450980393</v>
      </c>
      <c r="K46" s="53"/>
    </row>
    <row r="47" spans="1:11" ht="18" customHeight="1">
      <c r="A47" s="45" t="s">
        <v>733</v>
      </c>
      <c r="B47" s="46"/>
      <c r="C47" s="46"/>
      <c r="D47" s="44">
        <f aca="true" t="shared" si="12" ref="D47:D52">B47+C47</f>
        <v>0</v>
      </c>
      <c r="E47" s="44">
        <f t="shared" si="6"/>
        <v>0</v>
      </c>
      <c r="F47" s="46"/>
      <c r="G47" s="46"/>
      <c r="H47" s="46"/>
      <c r="I47" s="46"/>
      <c r="J47" s="52" t="e">
        <f t="shared" si="2"/>
        <v>#DIV/0!</v>
      </c>
      <c r="K47" s="53"/>
    </row>
    <row r="48" spans="1:11" ht="18" customHeight="1">
      <c r="A48" s="50" t="s">
        <v>734</v>
      </c>
      <c r="B48" s="46">
        <v>48000</v>
      </c>
      <c r="C48" s="46"/>
      <c r="D48" s="44">
        <f t="shared" si="12"/>
        <v>48000</v>
      </c>
      <c r="E48" s="44">
        <f t="shared" si="6"/>
        <v>60000</v>
      </c>
      <c r="F48" s="46"/>
      <c r="G48" s="46">
        <v>60000</v>
      </c>
      <c r="H48" s="46"/>
      <c r="I48" s="46"/>
      <c r="J48" s="52">
        <f t="shared" si="2"/>
        <v>1.25</v>
      </c>
      <c r="K48" s="53"/>
    </row>
    <row r="49" spans="1:11" ht="18" customHeight="1">
      <c r="A49" s="50" t="s">
        <v>735</v>
      </c>
      <c r="B49" s="46"/>
      <c r="C49" s="46"/>
      <c r="D49" s="44">
        <f t="shared" si="12"/>
        <v>0</v>
      </c>
      <c r="E49" s="44">
        <f t="shared" si="6"/>
        <v>0</v>
      </c>
      <c r="F49" s="46"/>
      <c r="G49" s="46"/>
      <c r="H49" s="46"/>
      <c r="I49" s="46"/>
      <c r="J49" s="52" t="e">
        <f t="shared" si="2"/>
        <v>#DIV/0!</v>
      </c>
      <c r="K49" s="53"/>
    </row>
    <row r="50" spans="1:11" ht="18" customHeight="1">
      <c r="A50" s="50" t="s">
        <v>736</v>
      </c>
      <c r="B50" s="46">
        <v>960</v>
      </c>
      <c r="C50" s="46"/>
      <c r="D50" s="44">
        <f t="shared" si="12"/>
        <v>960</v>
      </c>
      <c r="E50" s="44">
        <f t="shared" si="6"/>
        <v>15000</v>
      </c>
      <c r="F50" s="46">
        <v>5000</v>
      </c>
      <c r="G50" s="46">
        <v>6000</v>
      </c>
      <c r="H50" s="46">
        <v>4000</v>
      </c>
      <c r="I50" s="46"/>
      <c r="J50" s="52">
        <f t="shared" si="2"/>
        <v>15.625</v>
      </c>
      <c r="K50" s="53"/>
    </row>
    <row r="51" spans="1:11" ht="18" customHeight="1">
      <c r="A51" s="50" t="s">
        <v>737</v>
      </c>
      <c r="B51" s="46"/>
      <c r="C51" s="46"/>
      <c r="D51" s="44">
        <f t="shared" si="12"/>
        <v>0</v>
      </c>
      <c r="E51" s="44">
        <f t="shared" si="6"/>
        <v>0</v>
      </c>
      <c r="F51" s="46"/>
      <c r="G51" s="46"/>
      <c r="H51" s="46"/>
      <c r="I51" s="46"/>
      <c r="J51" s="52" t="e">
        <f t="shared" si="2"/>
        <v>#DIV/0!</v>
      </c>
      <c r="K51" s="53"/>
    </row>
    <row r="52" spans="1:11" ht="18" customHeight="1">
      <c r="A52" s="50" t="s">
        <v>738</v>
      </c>
      <c r="B52" s="46"/>
      <c r="C52" s="46"/>
      <c r="D52" s="44">
        <f t="shared" si="12"/>
        <v>0</v>
      </c>
      <c r="E52" s="44">
        <f t="shared" si="6"/>
        <v>0</v>
      </c>
      <c r="F52" s="46"/>
      <c r="G52" s="46"/>
      <c r="H52" s="46"/>
      <c r="I52" s="46"/>
      <c r="J52" s="52" t="e">
        <f t="shared" si="2"/>
        <v>#DIV/0!</v>
      </c>
      <c r="K52" s="53"/>
    </row>
    <row r="53" spans="1:11" ht="18" customHeight="1">
      <c r="A53" s="50" t="s">
        <v>739</v>
      </c>
      <c r="B53" s="47">
        <f aca="true" t="shared" si="13" ref="B53:I53">SUM(B54:B59)</f>
        <v>0</v>
      </c>
      <c r="C53" s="47">
        <f t="shared" si="13"/>
        <v>0</v>
      </c>
      <c r="D53" s="47">
        <f t="shared" si="13"/>
        <v>0</v>
      </c>
      <c r="E53" s="47">
        <f t="shared" si="13"/>
        <v>15000</v>
      </c>
      <c r="F53" s="47">
        <f t="shared" si="13"/>
        <v>3000</v>
      </c>
      <c r="G53" s="47">
        <f t="shared" si="13"/>
        <v>4000</v>
      </c>
      <c r="H53" s="47">
        <f t="shared" si="13"/>
        <v>5000</v>
      </c>
      <c r="I53" s="47">
        <f t="shared" si="13"/>
        <v>3000</v>
      </c>
      <c r="J53" s="52" t="e">
        <f t="shared" si="2"/>
        <v>#DIV/0!</v>
      </c>
      <c r="K53" s="53"/>
    </row>
    <row r="54" spans="1:11" ht="18" customHeight="1">
      <c r="A54" s="50" t="s">
        <v>740</v>
      </c>
      <c r="B54" s="46"/>
      <c r="C54" s="46"/>
      <c r="D54" s="44">
        <f aca="true" t="shared" si="14" ref="D54:D67">B54+C54</f>
        <v>0</v>
      </c>
      <c r="E54" s="44">
        <f t="shared" si="6"/>
        <v>15000</v>
      </c>
      <c r="F54" s="46">
        <v>3000</v>
      </c>
      <c r="G54" s="46">
        <v>4000</v>
      </c>
      <c r="H54" s="46">
        <v>5000</v>
      </c>
      <c r="I54" s="46">
        <v>3000</v>
      </c>
      <c r="J54" s="52" t="e">
        <f t="shared" si="2"/>
        <v>#DIV/0!</v>
      </c>
      <c r="K54" s="53"/>
    </row>
    <row r="55" spans="1:11" ht="18" customHeight="1">
      <c r="A55" s="50" t="s">
        <v>741</v>
      </c>
      <c r="B55" s="46"/>
      <c r="C55" s="46"/>
      <c r="D55" s="44">
        <f t="shared" si="14"/>
        <v>0</v>
      </c>
      <c r="E55" s="44">
        <f t="shared" si="6"/>
        <v>0</v>
      </c>
      <c r="F55" s="46"/>
      <c r="G55" s="46"/>
      <c r="H55" s="46"/>
      <c r="I55" s="46"/>
      <c r="J55" s="52" t="e">
        <f t="shared" si="2"/>
        <v>#DIV/0!</v>
      </c>
      <c r="K55" s="53"/>
    </row>
    <row r="56" spans="1:11" ht="18" customHeight="1">
      <c r="A56" s="50" t="s">
        <v>742</v>
      </c>
      <c r="B56" s="46"/>
      <c r="C56" s="46"/>
      <c r="D56" s="44">
        <f t="shared" si="14"/>
        <v>0</v>
      </c>
      <c r="E56" s="44">
        <f t="shared" si="6"/>
        <v>0</v>
      </c>
      <c r="F56" s="46"/>
      <c r="G56" s="46"/>
      <c r="H56" s="46"/>
      <c r="I56" s="46"/>
      <c r="J56" s="52" t="e">
        <f t="shared" si="2"/>
        <v>#DIV/0!</v>
      </c>
      <c r="K56" s="53"/>
    </row>
    <row r="57" spans="1:11" ht="18" customHeight="1">
      <c r="A57" s="50" t="s">
        <v>743</v>
      </c>
      <c r="B57" s="46"/>
      <c r="C57" s="46"/>
      <c r="D57" s="44">
        <f t="shared" si="14"/>
        <v>0</v>
      </c>
      <c r="E57" s="44">
        <f t="shared" si="6"/>
        <v>0</v>
      </c>
      <c r="F57" s="46"/>
      <c r="G57" s="46"/>
      <c r="H57" s="46"/>
      <c r="I57" s="46"/>
      <c r="J57" s="52" t="e">
        <f t="shared" si="2"/>
        <v>#DIV/0!</v>
      </c>
      <c r="K57" s="53"/>
    </row>
    <row r="58" spans="1:11" ht="18" customHeight="1">
      <c r="A58" s="50" t="s">
        <v>744</v>
      </c>
      <c r="B58" s="46"/>
      <c r="C58" s="46"/>
      <c r="D58" s="44">
        <f t="shared" si="14"/>
        <v>0</v>
      </c>
      <c r="E58" s="44">
        <f t="shared" si="6"/>
        <v>0</v>
      </c>
      <c r="F58" s="46"/>
      <c r="G58" s="46"/>
      <c r="H58" s="46"/>
      <c r="I58" s="46"/>
      <c r="J58" s="52" t="e">
        <f t="shared" si="2"/>
        <v>#DIV/0!</v>
      </c>
      <c r="K58" s="53"/>
    </row>
    <row r="59" spans="1:11" ht="18" customHeight="1">
      <c r="A59" s="50" t="s">
        <v>745</v>
      </c>
      <c r="B59" s="46"/>
      <c r="C59" s="46"/>
      <c r="D59" s="44">
        <f t="shared" si="14"/>
        <v>0</v>
      </c>
      <c r="E59" s="44">
        <f t="shared" si="6"/>
        <v>0</v>
      </c>
      <c r="F59" s="46"/>
      <c r="G59" s="46"/>
      <c r="H59" s="46"/>
      <c r="I59" s="46"/>
      <c r="J59" s="52" t="e">
        <f t="shared" si="2"/>
        <v>#DIV/0!</v>
      </c>
      <c r="K59" s="53"/>
    </row>
    <row r="60" spans="1:16" ht="18" customHeight="1">
      <c r="A60" s="50" t="s">
        <v>746</v>
      </c>
      <c r="B60" s="46"/>
      <c r="C60" s="46"/>
      <c r="D60" s="44">
        <f t="shared" si="14"/>
        <v>0</v>
      </c>
      <c r="E60" s="44">
        <f t="shared" si="6"/>
        <v>20000</v>
      </c>
      <c r="F60" s="46">
        <v>5000</v>
      </c>
      <c r="G60" s="46">
        <v>5000</v>
      </c>
      <c r="H60" s="46">
        <v>5000</v>
      </c>
      <c r="I60" s="46">
        <v>5000</v>
      </c>
      <c r="J60" s="52" t="e">
        <f t="shared" si="2"/>
        <v>#DIV/0!</v>
      </c>
      <c r="K60" s="53"/>
      <c r="P60">
        <v>4</v>
      </c>
    </row>
    <row r="61" spans="1:11" ht="18" customHeight="1">
      <c r="A61" s="50" t="s">
        <v>747</v>
      </c>
      <c r="B61" s="46"/>
      <c r="C61" s="46"/>
      <c r="D61" s="44">
        <f t="shared" si="14"/>
        <v>0</v>
      </c>
      <c r="E61" s="44">
        <f t="shared" si="6"/>
        <v>0</v>
      </c>
      <c r="F61" s="46"/>
      <c r="G61" s="46"/>
      <c r="H61" s="46"/>
      <c r="I61" s="46"/>
      <c r="J61" s="52" t="e">
        <f t="shared" si="2"/>
        <v>#DIV/0!</v>
      </c>
      <c r="K61" s="53"/>
    </row>
    <row r="62" spans="1:11" ht="18" customHeight="1">
      <c r="A62" s="50" t="s">
        <v>748</v>
      </c>
      <c r="B62" s="46"/>
      <c r="C62" s="46"/>
      <c r="D62" s="44">
        <f t="shared" si="14"/>
        <v>0</v>
      </c>
      <c r="E62" s="44">
        <f t="shared" si="6"/>
        <v>0</v>
      </c>
      <c r="F62" s="46"/>
      <c r="G62" s="46"/>
      <c r="H62" s="46"/>
      <c r="I62" s="46"/>
      <c r="J62" s="52" t="e">
        <f t="shared" si="2"/>
        <v>#DIV/0!</v>
      </c>
      <c r="K62" s="53"/>
    </row>
    <row r="63" spans="1:11" ht="18" customHeight="1">
      <c r="A63" s="50" t="s">
        <v>749</v>
      </c>
      <c r="B63" s="46"/>
      <c r="C63" s="46"/>
      <c r="D63" s="44">
        <f t="shared" si="14"/>
        <v>0</v>
      </c>
      <c r="E63" s="44">
        <f t="shared" si="6"/>
        <v>0</v>
      </c>
      <c r="F63" s="46"/>
      <c r="G63" s="46"/>
      <c r="H63" s="46"/>
      <c r="I63" s="46"/>
      <c r="J63" s="52" t="e">
        <f t="shared" si="2"/>
        <v>#DIV/0!</v>
      </c>
      <c r="K63" s="53"/>
    </row>
    <row r="64" spans="1:11" ht="18" customHeight="1">
      <c r="A64" s="50" t="s">
        <v>750</v>
      </c>
      <c r="B64" s="46"/>
      <c r="C64" s="46"/>
      <c r="D64" s="44">
        <f t="shared" si="14"/>
        <v>0</v>
      </c>
      <c r="E64" s="44">
        <f t="shared" si="6"/>
        <v>0</v>
      </c>
      <c r="F64" s="46"/>
      <c r="G64" s="46"/>
      <c r="H64" s="46"/>
      <c r="I64" s="46"/>
      <c r="J64" s="52" t="e">
        <f t="shared" si="2"/>
        <v>#DIV/0!</v>
      </c>
      <c r="K64" s="53"/>
    </row>
    <row r="65" spans="1:11" ht="18" customHeight="1">
      <c r="A65" s="50" t="s">
        <v>751</v>
      </c>
      <c r="B65" s="46"/>
      <c r="C65" s="46"/>
      <c r="D65" s="44">
        <f t="shared" si="14"/>
        <v>0</v>
      </c>
      <c r="E65" s="44">
        <f t="shared" si="6"/>
        <v>0</v>
      </c>
      <c r="F65" s="46"/>
      <c r="G65" s="46"/>
      <c r="H65" s="46"/>
      <c r="I65" s="46"/>
      <c r="J65" s="52" t="e">
        <f t="shared" si="2"/>
        <v>#DIV/0!</v>
      </c>
      <c r="K65" s="53"/>
    </row>
    <row r="66" spans="1:11" ht="18" customHeight="1">
      <c r="A66" s="50" t="s">
        <v>752</v>
      </c>
      <c r="B66" s="46"/>
      <c r="C66" s="46">
        <v>1200</v>
      </c>
      <c r="D66" s="44">
        <f t="shared" si="14"/>
        <v>1200</v>
      </c>
      <c r="E66" s="44">
        <f t="shared" si="6"/>
        <v>14580</v>
      </c>
      <c r="F66" s="46">
        <v>5460</v>
      </c>
      <c r="G66" s="46">
        <v>3640</v>
      </c>
      <c r="H66" s="46">
        <v>3640</v>
      </c>
      <c r="I66" s="46">
        <v>1840</v>
      </c>
      <c r="J66" s="52">
        <f t="shared" si="2"/>
        <v>12.15</v>
      </c>
      <c r="K66" s="53"/>
    </row>
    <row r="67" spans="1:11" ht="18" customHeight="1">
      <c r="A67" s="50" t="s">
        <v>753</v>
      </c>
      <c r="B67" s="46"/>
      <c r="C67" s="46"/>
      <c r="D67" s="44">
        <f t="shared" si="14"/>
        <v>0</v>
      </c>
      <c r="E67" s="44">
        <f t="shared" si="6"/>
        <v>0</v>
      </c>
      <c r="F67" s="46"/>
      <c r="G67" s="46"/>
      <c r="H67" s="46"/>
      <c r="I67" s="46"/>
      <c r="J67" s="52" t="e">
        <f t="shared" si="2"/>
        <v>#DIV/0!</v>
      </c>
      <c r="K67" s="53"/>
    </row>
    <row r="68" spans="1:11" ht="18" customHeight="1">
      <c r="A68" s="50" t="s">
        <v>754</v>
      </c>
      <c r="B68" s="47">
        <f aca="true" t="shared" si="15" ref="B68:I68">SUM(B69:B74)</f>
        <v>331680.05000000005</v>
      </c>
      <c r="C68" s="47">
        <f t="shared" si="15"/>
        <v>106829.48999999999</v>
      </c>
      <c r="D68" s="47">
        <f t="shared" si="15"/>
        <v>438509.54</v>
      </c>
      <c r="E68" s="47">
        <f t="shared" si="15"/>
        <v>442700.39999999997</v>
      </c>
      <c r="F68" s="47">
        <f t="shared" si="15"/>
        <v>110675.09999999999</v>
      </c>
      <c r="G68" s="47">
        <f t="shared" si="15"/>
        <v>110675.09999999999</v>
      </c>
      <c r="H68" s="47">
        <f t="shared" si="15"/>
        <v>110675.09999999999</v>
      </c>
      <c r="I68" s="47">
        <f t="shared" si="15"/>
        <v>110675.09999999999</v>
      </c>
      <c r="J68" s="52">
        <f t="shared" si="2"/>
        <v>1.0095570554747795</v>
      </c>
      <c r="K68" s="53"/>
    </row>
    <row r="69" spans="1:11" ht="18" customHeight="1">
      <c r="A69" s="50" t="s">
        <v>701</v>
      </c>
      <c r="B69" s="46">
        <v>303630.02</v>
      </c>
      <c r="C69" s="46">
        <f>32493.16*3</f>
        <v>97479.48</v>
      </c>
      <c r="D69" s="44">
        <f aca="true" t="shared" si="16" ref="D69:D74">B69+C69</f>
        <v>401109.5</v>
      </c>
      <c r="E69" s="44">
        <f t="shared" si="6"/>
        <v>405300.36</v>
      </c>
      <c r="F69" s="46">
        <v>101325.09</v>
      </c>
      <c r="G69" s="46">
        <v>101325.09</v>
      </c>
      <c r="H69" s="46">
        <v>101325.09</v>
      </c>
      <c r="I69" s="46">
        <v>101325.09</v>
      </c>
      <c r="J69" s="52">
        <f t="shared" si="2"/>
        <v>1.010448169390154</v>
      </c>
      <c r="K69" s="53"/>
    </row>
    <row r="70" spans="1:11" ht="18" customHeight="1">
      <c r="A70" s="50" t="s">
        <v>702</v>
      </c>
      <c r="B70" s="46">
        <v>28050.03</v>
      </c>
      <c r="C70" s="46">
        <f>3116.67*3</f>
        <v>9350.01</v>
      </c>
      <c r="D70" s="44">
        <f t="shared" si="16"/>
        <v>37400.04</v>
      </c>
      <c r="E70" s="44">
        <f t="shared" si="6"/>
        <v>37400.04</v>
      </c>
      <c r="F70" s="46">
        <v>9350.01</v>
      </c>
      <c r="G70" s="46">
        <v>9350.01</v>
      </c>
      <c r="H70" s="46">
        <v>9350.01</v>
      </c>
      <c r="I70" s="46">
        <v>9350.01</v>
      </c>
      <c r="J70" s="52">
        <f t="shared" si="2"/>
        <v>1</v>
      </c>
      <c r="K70" s="53"/>
    </row>
    <row r="71" spans="1:11" ht="18" customHeight="1">
      <c r="A71" s="50" t="s">
        <v>755</v>
      </c>
      <c r="B71" s="46"/>
      <c r="C71" s="46"/>
      <c r="D71" s="44">
        <f t="shared" si="16"/>
        <v>0</v>
      </c>
      <c r="E71" s="44">
        <f t="shared" si="6"/>
        <v>0</v>
      </c>
      <c r="F71" s="46"/>
      <c r="G71" s="46"/>
      <c r="H71" s="46"/>
      <c r="I71" s="46" t="s">
        <v>756</v>
      </c>
      <c r="J71" s="52" t="e">
        <f t="shared" si="2"/>
        <v>#DIV/0!</v>
      </c>
      <c r="K71" s="53"/>
    </row>
    <row r="72" spans="1:11" ht="18" customHeight="1">
      <c r="A72" s="50" t="s">
        <v>757</v>
      </c>
      <c r="B72" s="46"/>
      <c r="C72" s="46"/>
      <c r="D72" s="44">
        <f t="shared" si="16"/>
        <v>0</v>
      </c>
      <c r="E72" s="44">
        <f t="shared" si="6"/>
        <v>0</v>
      </c>
      <c r="F72" s="46"/>
      <c r="G72" s="46"/>
      <c r="H72" s="46"/>
      <c r="I72" s="46"/>
      <c r="J72" s="52" t="e">
        <f t="shared" si="2"/>
        <v>#DIV/0!</v>
      </c>
      <c r="K72" s="53"/>
    </row>
    <row r="73" spans="1:11" ht="18" customHeight="1">
      <c r="A73" s="50" t="s">
        <v>758</v>
      </c>
      <c r="B73" s="46"/>
      <c r="C73" s="46"/>
      <c r="D73" s="44">
        <f t="shared" si="16"/>
        <v>0</v>
      </c>
      <c r="E73" s="44">
        <f t="shared" si="6"/>
        <v>0</v>
      </c>
      <c r="F73" s="46"/>
      <c r="G73" s="46"/>
      <c r="H73" s="46"/>
      <c r="I73" s="46"/>
      <c r="J73" s="52" t="e">
        <f>E73/D73</f>
        <v>#DIV/0!</v>
      </c>
      <c r="K73" s="53"/>
    </row>
    <row r="74" spans="1:11" ht="18" customHeight="1">
      <c r="A74" s="50" t="s">
        <v>703</v>
      </c>
      <c r="B74" s="46"/>
      <c r="C74" s="46"/>
      <c r="D74" s="44">
        <f t="shared" si="16"/>
        <v>0</v>
      </c>
      <c r="E74" s="44">
        <f t="shared" si="6"/>
        <v>0</v>
      </c>
      <c r="F74" s="46"/>
      <c r="G74" s="46"/>
      <c r="H74" s="46"/>
      <c r="I74" s="46"/>
      <c r="J74" s="52" t="e">
        <f>E74/D74</f>
        <v>#DIV/0!</v>
      </c>
      <c r="K74" s="53"/>
    </row>
    <row r="75" spans="1:11" ht="18" customHeight="1">
      <c r="A75" s="53"/>
      <c r="B75" s="51"/>
      <c r="C75" s="54" t="s">
        <v>310</v>
      </c>
      <c r="D75" s="36"/>
      <c r="E75" s="36"/>
      <c r="F75" s="51"/>
      <c r="G75" s="55" t="s">
        <v>328</v>
      </c>
      <c r="H75" s="36"/>
      <c r="I75" s="36"/>
      <c r="J75" s="36"/>
      <c r="K75" s="36"/>
    </row>
    <row r="76" spans="1:11" ht="18" customHeight="1">
      <c r="A76" s="53"/>
      <c r="B76" s="51"/>
      <c r="C76" s="51"/>
      <c r="D76" s="36"/>
      <c r="E76" s="36"/>
      <c r="F76" s="36"/>
      <c r="G76" s="36"/>
      <c r="H76" s="36"/>
      <c r="I76" s="36"/>
      <c r="J76" s="36"/>
      <c r="K76" s="36"/>
    </row>
    <row r="79" spans="6:9" ht="12.75">
      <c r="F79" s="32"/>
      <c r="G79" s="32"/>
      <c r="H79" s="32"/>
      <c r="I79" s="32"/>
    </row>
  </sheetData>
  <sheetProtection/>
  <mergeCells count="7">
    <mergeCell ref="A1:K1"/>
    <mergeCell ref="B2:D2"/>
    <mergeCell ref="B3:D3"/>
    <mergeCell ref="E3:I3"/>
    <mergeCell ref="A3:A4"/>
    <mergeCell ref="J3:J4"/>
    <mergeCell ref="K3:K4"/>
  </mergeCells>
  <printOptions/>
  <pageMargins left="0.75" right="0.75" top="0.47" bottom="0.43000000000000005" header="0.31" footer="0.28"/>
  <pageSetup fitToHeight="1" fitToWidth="1" horizontalDpi="300" verticalDpi="300" orientation="portrait" paperSize="9" scale="78"/>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M16" sqref="M16"/>
    </sheetView>
  </sheetViews>
  <sheetFormatPr defaultColWidth="9.140625" defaultRowHeight="12.75"/>
  <cols>
    <col min="1" max="1" width="27.7109375" style="0" customWidth="1"/>
    <col min="2" max="2" width="16.7109375" style="0" customWidth="1"/>
    <col min="3" max="3" width="15.28125" style="0" customWidth="1"/>
    <col min="4" max="4" width="16.7109375" style="0" customWidth="1"/>
    <col min="5" max="9" width="15.00390625" style="0" customWidth="1"/>
    <col min="10" max="10" width="10.7109375" style="0" customWidth="1"/>
    <col min="11" max="11" width="9.8515625" style="0" customWidth="1"/>
  </cols>
  <sheetData>
    <row r="1" spans="1:11" ht="21" customHeight="1">
      <c r="A1" s="16" t="s">
        <v>759</v>
      </c>
      <c r="B1" s="16" t="s">
        <v>759</v>
      </c>
      <c r="C1" s="16" t="s">
        <v>759</v>
      </c>
      <c r="D1" s="16" t="s">
        <v>759</v>
      </c>
      <c r="E1" s="16" t="s">
        <v>759</v>
      </c>
      <c r="F1" s="16" t="s">
        <v>759</v>
      </c>
      <c r="G1" s="16" t="s">
        <v>759</v>
      </c>
      <c r="H1" s="16" t="s">
        <v>759</v>
      </c>
      <c r="I1" s="16" t="s">
        <v>759</v>
      </c>
      <c r="J1" s="16" t="s">
        <v>759</v>
      </c>
      <c r="K1" s="16" t="s">
        <v>759</v>
      </c>
    </row>
    <row r="2" spans="1:11" ht="18" customHeight="1">
      <c r="A2" s="4" t="s">
        <v>272</v>
      </c>
      <c r="B2" s="3"/>
      <c r="C2" s="3"/>
      <c r="D2" s="3"/>
      <c r="E2" s="4"/>
      <c r="F2" s="4" t="s">
        <v>273</v>
      </c>
      <c r="G2" s="4"/>
      <c r="H2" s="4"/>
      <c r="I2" s="4"/>
      <c r="J2" s="4"/>
      <c r="K2" s="11" t="s">
        <v>1</v>
      </c>
    </row>
    <row r="3" spans="1:11" ht="18" customHeight="1">
      <c r="A3" s="13" t="s">
        <v>276</v>
      </c>
      <c r="B3" s="6" t="s">
        <v>314</v>
      </c>
      <c r="C3" s="6" t="s">
        <v>314</v>
      </c>
      <c r="D3" s="6" t="s">
        <v>314</v>
      </c>
      <c r="E3" s="6" t="s">
        <v>278</v>
      </c>
      <c r="F3" s="6" t="s">
        <v>278</v>
      </c>
      <c r="G3" s="6" t="s">
        <v>278</v>
      </c>
      <c r="H3" s="6" t="s">
        <v>278</v>
      </c>
      <c r="I3" s="6" t="s">
        <v>278</v>
      </c>
      <c r="J3" s="6" t="s">
        <v>279</v>
      </c>
      <c r="K3" s="13" t="s">
        <v>36</v>
      </c>
    </row>
    <row r="4" spans="1:11" ht="18" customHeight="1">
      <c r="A4" s="13" t="s">
        <v>276</v>
      </c>
      <c r="B4" s="6" t="s">
        <v>280</v>
      </c>
      <c r="C4" s="6" t="s">
        <v>281</v>
      </c>
      <c r="D4" s="6" t="s">
        <v>427</v>
      </c>
      <c r="E4" s="6" t="s">
        <v>296</v>
      </c>
      <c r="F4" s="6" t="s">
        <v>306</v>
      </c>
      <c r="G4" s="6" t="s">
        <v>307</v>
      </c>
      <c r="H4" s="6" t="s">
        <v>308</v>
      </c>
      <c r="I4" s="6" t="s">
        <v>309</v>
      </c>
      <c r="J4" s="6" t="s">
        <v>279</v>
      </c>
      <c r="K4" s="13" t="s">
        <v>36</v>
      </c>
    </row>
    <row r="5" spans="1:11" ht="18" customHeight="1">
      <c r="A5" s="17" t="s">
        <v>760</v>
      </c>
      <c r="B5" s="8">
        <f>SUM(B6:B11)</f>
        <v>-324108.17</v>
      </c>
      <c r="C5" s="8">
        <f aca="true" t="shared" si="0" ref="C5:I5">SUM(C6:C11)</f>
        <v>-130556.19999999998</v>
      </c>
      <c r="D5" s="8">
        <f t="shared" si="0"/>
        <v>-454664.37</v>
      </c>
      <c r="E5" s="8">
        <f t="shared" si="0"/>
        <v>-360993.6</v>
      </c>
      <c r="F5" s="8">
        <f t="shared" si="0"/>
        <v>-90248.4</v>
      </c>
      <c r="G5" s="8">
        <f t="shared" si="0"/>
        <v>-90248.4</v>
      </c>
      <c r="H5" s="8">
        <f t="shared" si="0"/>
        <v>-90248.4</v>
      </c>
      <c r="I5" s="8">
        <f t="shared" si="0"/>
        <v>-90248.4</v>
      </c>
      <c r="J5" s="14">
        <f>E5/D5</f>
        <v>0.79397820418609</v>
      </c>
      <c r="K5" s="4"/>
    </row>
    <row r="6" spans="1:11" ht="18" customHeight="1">
      <c r="A6" s="17" t="s">
        <v>761</v>
      </c>
      <c r="B6" s="8">
        <v>-330161.19</v>
      </c>
      <c r="C6" s="15">
        <f>-40083.33-91848.4</f>
        <v>-131931.72999999998</v>
      </c>
      <c r="D6" s="8">
        <f aca="true" t="shared" si="1" ref="D6:D11">B6+C6</f>
        <v>-462092.92</v>
      </c>
      <c r="E6" s="8">
        <f aca="true" t="shared" si="2" ref="E6:E11">SUM(F6:I6)</f>
        <v>-367393.6</v>
      </c>
      <c r="F6" s="15">
        <v>-91848.4</v>
      </c>
      <c r="G6" s="15">
        <v>-91848.4</v>
      </c>
      <c r="H6" s="15">
        <v>-91848.4</v>
      </c>
      <c r="I6" s="15">
        <v>-91848.4</v>
      </c>
      <c r="J6" s="14">
        <f aca="true" t="shared" si="3" ref="J6:J11">E6/D6</f>
        <v>0.7950643346797003</v>
      </c>
      <c r="K6" s="4"/>
    </row>
    <row r="7" spans="1:11" ht="18" customHeight="1">
      <c r="A7" s="17" t="s">
        <v>762</v>
      </c>
      <c r="B7" s="8"/>
      <c r="C7" s="10"/>
      <c r="D7" s="8">
        <f t="shared" si="1"/>
        <v>0</v>
      </c>
      <c r="E7" s="8">
        <f t="shared" si="2"/>
        <v>0</v>
      </c>
      <c r="F7" s="15"/>
      <c r="G7" s="15"/>
      <c r="H7" s="15"/>
      <c r="I7" s="15"/>
      <c r="J7" s="14" t="e">
        <f t="shared" si="3"/>
        <v>#DIV/0!</v>
      </c>
      <c r="K7" s="4"/>
    </row>
    <row r="8" spans="1:11" ht="18" customHeight="1">
      <c r="A8" s="17" t="s">
        <v>763</v>
      </c>
      <c r="B8" s="8">
        <v>4213.02</v>
      </c>
      <c r="C8" s="15">
        <f>1255.53</f>
        <v>1255.53</v>
      </c>
      <c r="D8" s="8">
        <f t="shared" si="1"/>
        <v>5468.55</v>
      </c>
      <c r="E8" s="8">
        <f t="shared" si="2"/>
        <v>4000</v>
      </c>
      <c r="F8" s="15">
        <v>1000</v>
      </c>
      <c r="G8" s="15">
        <v>1000</v>
      </c>
      <c r="H8" s="15">
        <v>1000</v>
      </c>
      <c r="I8" s="15">
        <v>1000</v>
      </c>
      <c r="J8" s="14">
        <f t="shared" si="3"/>
        <v>0.7314553217946256</v>
      </c>
      <c r="K8" s="4"/>
    </row>
    <row r="9" spans="1:11" ht="18" customHeight="1">
      <c r="A9" s="17" t="s">
        <v>764</v>
      </c>
      <c r="B9" s="8">
        <v>1840</v>
      </c>
      <c r="C9" s="15">
        <f>40*3</f>
        <v>120</v>
      </c>
      <c r="D9" s="8">
        <f t="shared" si="1"/>
        <v>1960</v>
      </c>
      <c r="E9" s="8">
        <f t="shared" si="2"/>
        <v>2400</v>
      </c>
      <c r="F9" s="15">
        <v>600</v>
      </c>
      <c r="G9" s="15">
        <v>600</v>
      </c>
      <c r="H9" s="15">
        <v>600</v>
      </c>
      <c r="I9" s="15">
        <v>600</v>
      </c>
      <c r="J9" s="14">
        <f t="shared" si="3"/>
        <v>1.2244897959183674</v>
      </c>
      <c r="K9" s="4"/>
    </row>
    <row r="10" spans="1:11" ht="18" customHeight="1">
      <c r="A10" s="17" t="s">
        <v>765</v>
      </c>
      <c r="B10" s="9"/>
      <c r="C10" s="10"/>
      <c r="D10" s="8">
        <f t="shared" si="1"/>
        <v>0</v>
      </c>
      <c r="E10" s="8">
        <f t="shared" si="2"/>
        <v>0</v>
      </c>
      <c r="F10" s="10"/>
      <c r="G10" s="10"/>
      <c r="H10" s="10"/>
      <c r="I10" s="10"/>
      <c r="J10" s="14" t="e">
        <f t="shared" si="3"/>
        <v>#DIV/0!</v>
      </c>
      <c r="K10" s="4"/>
    </row>
    <row r="11" spans="1:11" ht="18" customHeight="1">
      <c r="A11" s="17" t="s">
        <v>618</v>
      </c>
      <c r="B11" s="9"/>
      <c r="C11" s="10"/>
      <c r="D11" s="8">
        <f t="shared" si="1"/>
        <v>0</v>
      </c>
      <c r="E11" s="8">
        <f t="shared" si="2"/>
        <v>0</v>
      </c>
      <c r="F11" s="10"/>
      <c r="G11" s="10"/>
      <c r="H11" s="10"/>
      <c r="I11" s="10"/>
      <c r="J11" s="14" t="e">
        <f t="shared" si="3"/>
        <v>#DIV/0!</v>
      </c>
      <c r="K11" s="4"/>
    </row>
    <row r="12" spans="1:11" ht="18" customHeight="1">
      <c r="A12" s="4"/>
      <c r="B12" s="11"/>
      <c r="C12" s="12" t="s">
        <v>310</v>
      </c>
      <c r="D12" s="4"/>
      <c r="E12" s="4"/>
      <c r="F12" s="11"/>
      <c r="G12" s="21" t="s">
        <v>328</v>
      </c>
      <c r="H12" s="4"/>
      <c r="I12" s="4"/>
      <c r="J12" s="4"/>
      <c r="K12" s="4"/>
    </row>
  </sheetData>
  <sheetProtection/>
  <mergeCells count="7">
    <mergeCell ref="A1:K1"/>
    <mergeCell ref="B2:D2"/>
    <mergeCell ref="B3:D3"/>
    <mergeCell ref="E3:I3"/>
    <mergeCell ref="A3:A4"/>
    <mergeCell ref="J3:J4"/>
    <mergeCell ref="K3:K4"/>
  </mergeCells>
  <printOptions/>
  <pageMargins left="0.75" right="0.75" top="0.98" bottom="0.98" header="0.51" footer="0.51"/>
  <pageSetup fitToHeight="1" fitToWidth="1" horizontalDpi="300" verticalDpi="300" orientation="landscape" paperSize="9" scale="94"/>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W51"/>
  <sheetViews>
    <sheetView workbookViewId="0" topLeftCell="A28">
      <selection activeCell="D50" sqref="D50"/>
    </sheetView>
  </sheetViews>
  <sheetFormatPr defaultColWidth="9.140625" defaultRowHeight="12.75"/>
  <cols>
    <col min="1" max="1" width="9.140625" style="0" customWidth="1"/>
    <col min="2" max="2" width="23.8515625" style="0" customWidth="1"/>
    <col min="3" max="3" width="13.57421875" style="0" customWidth="1"/>
    <col min="4" max="4" width="13.140625" style="0" customWidth="1"/>
    <col min="5" max="5" width="12.00390625" style="0" customWidth="1"/>
    <col min="6" max="8" width="10.8515625" style="0" customWidth="1"/>
    <col min="9" max="21" width="11.28125" style="0" customWidth="1"/>
    <col min="22" max="22" width="10.7109375" style="0" customWidth="1"/>
    <col min="23" max="23" width="9.00390625" style="0" customWidth="1"/>
  </cols>
  <sheetData>
    <row r="1" spans="1:23" ht="18" customHeight="1">
      <c r="A1" s="16" t="s">
        <v>271</v>
      </c>
      <c r="B1" s="16" t="s">
        <v>271</v>
      </c>
      <c r="C1" s="16"/>
      <c r="D1" s="16"/>
      <c r="E1" s="16" t="s">
        <v>271</v>
      </c>
      <c r="F1" s="16" t="s">
        <v>271</v>
      </c>
      <c r="G1" s="16" t="s">
        <v>271</v>
      </c>
      <c r="H1" s="16" t="s">
        <v>271</v>
      </c>
      <c r="I1" s="16" t="s">
        <v>271</v>
      </c>
      <c r="J1" s="16" t="s">
        <v>271</v>
      </c>
      <c r="K1" s="16" t="s">
        <v>271</v>
      </c>
      <c r="L1" s="16" t="s">
        <v>271</v>
      </c>
      <c r="M1" s="16"/>
      <c r="N1" s="16"/>
      <c r="O1" s="16"/>
      <c r="P1" s="16" t="s">
        <v>271</v>
      </c>
      <c r="Q1" s="16" t="s">
        <v>271</v>
      </c>
      <c r="R1" s="16" t="s">
        <v>271</v>
      </c>
      <c r="S1" s="16" t="s">
        <v>271</v>
      </c>
      <c r="T1" s="16" t="s">
        <v>271</v>
      </c>
      <c r="U1" s="16" t="s">
        <v>271</v>
      </c>
      <c r="V1" s="16" t="s">
        <v>271</v>
      </c>
      <c r="W1" s="16" t="s">
        <v>271</v>
      </c>
    </row>
    <row r="2" spans="1:23" ht="18" customHeight="1">
      <c r="A2" s="84" t="s">
        <v>272</v>
      </c>
      <c r="B2" s="84"/>
      <c r="C2" s="84"/>
      <c r="D2" s="84"/>
      <c r="E2" s="84"/>
      <c r="F2" s="84"/>
      <c r="G2" s="4"/>
      <c r="H2" s="4"/>
      <c r="I2" s="4"/>
      <c r="J2" s="4"/>
      <c r="K2" s="4"/>
      <c r="L2" s="4"/>
      <c r="M2" s="4"/>
      <c r="N2" s="4"/>
      <c r="O2" s="4"/>
      <c r="P2" s="21" t="s">
        <v>273</v>
      </c>
      <c r="Q2" s="4"/>
      <c r="R2" s="4"/>
      <c r="S2" s="4"/>
      <c r="T2" s="4"/>
      <c r="U2" s="4"/>
      <c r="V2" s="11" t="s">
        <v>274</v>
      </c>
      <c r="W2" s="4"/>
    </row>
    <row r="3" spans="1:23" ht="14.25" customHeight="1">
      <c r="A3" s="13" t="s">
        <v>275</v>
      </c>
      <c r="B3" s="13" t="s">
        <v>276</v>
      </c>
      <c r="C3" s="168" t="s">
        <v>277</v>
      </c>
      <c r="D3" s="169"/>
      <c r="E3" s="169"/>
      <c r="F3" s="170"/>
      <c r="G3" s="6" t="s">
        <v>278</v>
      </c>
      <c r="H3" s="6" t="s">
        <v>278</v>
      </c>
      <c r="I3" s="6" t="s">
        <v>278</v>
      </c>
      <c r="J3" s="6" t="s">
        <v>278</v>
      </c>
      <c r="K3" s="6" t="s">
        <v>278</v>
      </c>
      <c r="L3" s="6" t="s">
        <v>278</v>
      </c>
      <c r="M3" s="6"/>
      <c r="N3" s="6"/>
      <c r="O3" s="6"/>
      <c r="P3" s="6" t="s">
        <v>278</v>
      </c>
      <c r="Q3" s="6" t="s">
        <v>278</v>
      </c>
      <c r="R3" s="6" t="s">
        <v>278</v>
      </c>
      <c r="S3" s="6" t="s">
        <v>278</v>
      </c>
      <c r="T3" s="6" t="s">
        <v>278</v>
      </c>
      <c r="U3" s="6" t="s">
        <v>278</v>
      </c>
      <c r="V3" s="6" t="s">
        <v>279</v>
      </c>
      <c r="W3" s="13" t="s">
        <v>36</v>
      </c>
    </row>
    <row r="4" spans="1:23" ht="18" customHeight="1">
      <c r="A4" s="13" t="s">
        <v>275</v>
      </c>
      <c r="B4" s="13" t="s">
        <v>276</v>
      </c>
      <c r="C4" s="171" t="s">
        <v>280</v>
      </c>
      <c r="D4" s="171" t="s">
        <v>281</v>
      </c>
      <c r="E4" s="6" t="s">
        <v>282</v>
      </c>
      <c r="F4" s="6" t="s">
        <v>283</v>
      </c>
      <c r="G4" s="6" t="s">
        <v>282</v>
      </c>
      <c r="H4" s="6" t="s">
        <v>284</v>
      </c>
      <c r="I4" s="168" t="s">
        <v>283</v>
      </c>
      <c r="J4" s="169"/>
      <c r="K4" s="169"/>
      <c r="L4" s="169"/>
      <c r="M4" s="169"/>
      <c r="N4" s="169"/>
      <c r="O4" s="170"/>
      <c r="P4" s="6" t="s">
        <v>285</v>
      </c>
      <c r="Q4" s="6" t="s">
        <v>286</v>
      </c>
      <c r="R4" s="6" t="s">
        <v>287</v>
      </c>
      <c r="S4" s="6" t="s">
        <v>288</v>
      </c>
      <c r="T4" s="6" t="s">
        <v>289</v>
      </c>
      <c r="U4" s="6" t="s">
        <v>290</v>
      </c>
      <c r="V4" s="6" t="s">
        <v>279</v>
      </c>
      <c r="W4" s="13" t="s">
        <v>36</v>
      </c>
    </row>
    <row r="5" spans="1:23" ht="10.5" customHeight="1">
      <c r="A5" s="13" t="s">
        <v>275</v>
      </c>
      <c r="B5" s="13" t="s">
        <v>276</v>
      </c>
      <c r="C5" s="172"/>
      <c r="D5" s="172"/>
      <c r="E5" s="6" t="s">
        <v>282</v>
      </c>
      <c r="F5" s="6" t="s">
        <v>284</v>
      </c>
      <c r="G5" s="6" t="s">
        <v>282</v>
      </c>
      <c r="H5" s="6" t="s">
        <v>284</v>
      </c>
      <c r="I5" s="76" t="s">
        <v>291</v>
      </c>
      <c r="J5" s="76" t="s">
        <v>292</v>
      </c>
      <c r="K5" s="76" t="s">
        <v>7</v>
      </c>
      <c r="L5" s="76" t="s">
        <v>242</v>
      </c>
      <c r="M5" s="76" t="s">
        <v>293</v>
      </c>
      <c r="N5" s="76" t="s">
        <v>294</v>
      </c>
      <c r="O5" s="76" t="s">
        <v>295</v>
      </c>
      <c r="P5" s="6" t="s">
        <v>286</v>
      </c>
      <c r="Q5" s="6" t="s">
        <v>285</v>
      </c>
      <c r="R5" s="6" t="s">
        <v>287</v>
      </c>
      <c r="S5" s="6" t="s">
        <v>288</v>
      </c>
      <c r="T5" s="6" t="s">
        <v>289</v>
      </c>
      <c r="U5" s="6" t="s">
        <v>290</v>
      </c>
      <c r="V5" s="6" t="s">
        <v>279</v>
      </c>
      <c r="W5" s="13" t="s">
        <v>36</v>
      </c>
    </row>
    <row r="6" spans="1:23" ht="18" customHeight="1">
      <c r="A6" s="6" t="s">
        <v>296</v>
      </c>
      <c r="B6" s="17" t="s">
        <v>297</v>
      </c>
      <c r="C6" s="8">
        <f>C7+C14</f>
        <v>98679.68</v>
      </c>
      <c r="D6" s="8">
        <f>D7+D14</f>
        <v>21050.16</v>
      </c>
      <c r="E6" s="8">
        <f>F6/2</f>
        <v>59864.92</v>
      </c>
      <c r="F6" s="8">
        <f>C6+D6</f>
        <v>119729.84</v>
      </c>
      <c r="G6" s="8">
        <f>I6/2</f>
        <v>31800</v>
      </c>
      <c r="H6" s="8">
        <f>H7+H14</f>
        <v>89561.52</v>
      </c>
      <c r="I6" s="8">
        <f aca="true" t="shared" si="0" ref="I6:U6">I7+I14</f>
        <v>63600</v>
      </c>
      <c r="J6" s="8">
        <f t="shared" si="0"/>
        <v>63600</v>
      </c>
      <c r="K6" s="8">
        <f t="shared" si="0"/>
        <v>0</v>
      </c>
      <c r="L6" s="8">
        <f t="shared" si="0"/>
        <v>0</v>
      </c>
      <c r="M6" s="8">
        <f t="shared" si="0"/>
        <v>0</v>
      </c>
      <c r="N6" s="8">
        <f t="shared" si="0"/>
        <v>0</v>
      </c>
      <c r="O6" s="8">
        <f t="shared" si="0"/>
        <v>0</v>
      </c>
      <c r="P6" s="8">
        <f t="shared" si="0"/>
        <v>0</v>
      </c>
      <c r="Q6" s="8">
        <f t="shared" si="0"/>
        <v>16103.52</v>
      </c>
      <c r="R6" s="8">
        <f t="shared" si="0"/>
        <v>7632</v>
      </c>
      <c r="S6" s="8">
        <f t="shared" si="0"/>
        <v>1272</v>
      </c>
      <c r="T6" s="8">
        <f t="shared" si="0"/>
        <v>954</v>
      </c>
      <c r="U6" s="8">
        <f t="shared" si="0"/>
        <v>0</v>
      </c>
      <c r="V6" s="8">
        <f>H6/F6</f>
        <v>0.7480300650197145</v>
      </c>
      <c r="W6" s="4"/>
    </row>
    <row r="7" spans="1:23" ht="18" customHeight="1">
      <c r="A7" s="6" t="s">
        <v>296</v>
      </c>
      <c r="B7" s="17" t="s">
        <v>298</v>
      </c>
      <c r="C7" s="8">
        <f>SUM(C8:C13)</f>
        <v>0</v>
      </c>
      <c r="D7" s="8">
        <f>SUM(D8:D13)</f>
        <v>0</v>
      </c>
      <c r="E7" s="8"/>
      <c r="F7" s="8">
        <f aca="true" t="shared" si="1" ref="F7:F50">C7+D7</f>
        <v>0</v>
      </c>
      <c r="G7" s="8"/>
      <c r="H7" s="8">
        <f>SUM(H8:H13)</f>
        <v>0</v>
      </c>
      <c r="I7" s="8">
        <f aca="true" t="shared" si="2" ref="I7:U7">SUM(I8:I13)</f>
        <v>0</v>
      </c>
      <c r="J7" s="8">
        <f t="shared" si="2"/>
        <v>0</v>
      </c>
      <c r="K7" s="8">
        <f t="shared" si="2"/>
        <v>0</v>
      </c>
      <c r="L7" s="8">
        <f t="shared" si="2"/>
        <v>0</v>
      </c>
      <c r="M7" s="8">
        <f t="shared" si="2"/>
        <v>0</v>
      </c>
      <c r="N7" s="8">
        <f t="shared" si="2"/>
        <v>0</v>
      </c>
      <c r="O7" s="8">
        <f t="shared" si="2"/>
        <v>0</v>
      </c>
      <c r="P7" s="8">
        <f t="shared" si="2"/>
        <v>0</v>
      </c>
      <c r="Q7" s="8">
        <f t="shared" si="2"/>
        <v>0</v>
      </c>
      <c r="R7" s="8">
        <f t="shared" si="2"/>
        <v>0</v>
      </c>
      <c r="S7" s="8">
        <f t="shared" si="2"/>
        <v>0</v>
      </c>
      <c r="T7" s="8">
        <f t="shared" si="2"/>
        <v>0</v>
      </c>
      <c r="U7" s="8">
        <f t="shared" si="2"/>
        <v>0</v>
      </c>
      <c r="V7" s="8" t="e">
        <f aca="true" t="shared" si="3" ref="V7:V50">H7/F7</f>
        <v>#DIV/0!</v>
      </c>
      <c r="W7" s="4"/>
    </row>
    <row r="8" spans="1:23" ht="18" customHeight="1">
      <c r="A8" s="6" t="s">
        <v>296</v>
      </c>
      <c r="B8" s="17" t="s">
        <v>299</v>
      </c>
      <c r="C8" s="8">
        <f>C17+C26+C35+C44</f>
        <v>0</v>
      </c>
      <c r="D8" s="8">
        <f>D17+D26+D35+D44</f>
        <v>0</v>
      </c>
      <c r="E8" s="9"/>
      <c r="F8" s="8">
        <f t="shared" si="1"/>
        <v>0</v>
      </c>
      <c r="G8" s="9"/>
      <c r="H8" s="8">
        <f>H17+H26+H35+H44</f>
        <v>0</v>
      </c>
      <c r="I8" s="8">
        <f>SUM(J8:N8)</f>
        <v>0</v>
      </c>
      <c r="J8" s="8">
        <f>J17+J26+J35+J44</f>
        <v>0</v>
      </c>
      <c r="K8" s="8">
        <f aca="true" t="shared" si="4" ref="K8:U8">K17+K26+K35+K44</f>
        <v>0</v>
      </c>
      <c r="L8" s="8">
        <f t="shared" si="4"/>
        <v>0</v>
      </c>
      <c r="M8" s="8">
        <f t="shared" si="4"/>
        <v>0</v>
      </c>
      <c r="N8" s="8">
        <f t="shared" si="4"/>
        <v>0</v>
      </c>
      <c r="O8" s="8">
        <f aca="true" t="shared" si="5" ref="O8:O14">O17+O26+O35+O44</f>
        <v>0</v>
      </c>
      <c r="P8" s="8">
        <f t="shared" si="4"/>
        <v>0</v>
      </c>
      <c r="Q8" s="8">
        <f t="shared" si="4"/>
        <v>0</v>
      </c>
      <c r="R8" s="8">
        <f t="shared" si="4"/>
        <v>0</v>
      </c>
      <c r="S8" s="8">
        <f t="shared" si="4"/>
        <v>0</v>
      </c>
      <c r="T8" s="8">
        <f t="shared" si="4"/>
        <v>0</v>
      </c>
      <c r="U8" s="8">
        <f t="shared" si="4"/>
        <v>0</v>
      </c>
      <c r="V8" s="8" t="e">
        <f t="shared" si="3"/>
        <v>#DIV/0!</v>
      </c>
      <c r="W8" s="4"/>
    </row>
    <row r="9" spans="1:23" ht="18" customHeight="1">
      <c r="A9" s="6" t="s">
        <v>296</v>
      </c>
      <c r="B9" s="17" t="s">
        <v>300</v>
      </c>
      <c r="C9" s="8">
        <f aca="true" t="shared" si="6" ref="C9:D14">C18+C27+C36+C45</f>
        <v>0</v>
      </c>
      <c r="D9" s="8">
        <f t="shared" si="6"/>
        <v>0</v>
      </c>
      <c r="E9" s="9"/>
      <c r="F9" s="8">
        <f t="shared" si="1"/>
        <v>0</v>
      </c>
      <c r="G9" s="9"/>
      <c r="H9" s="8">
        <f aca="true" t="shared" si="7" ref="H9:H14">H18+H27+H36+H45</f>
        <v>0</v>
      </c>
      <c r="I9" s="8">
        <f aca="true" t="shared" si="8" ref="I9:I14">SUM(J9:N9)</f>
        <v>0</v>
      </c>
      <c r="J9" s="8">
        <f>J18+J27+J36+J45</f>
        <v>0</v>
      </c>
      <c r="K9" s="8">
        <f aca="true" t="shared" si="9" ref="J9:U14">K18+K27+K36+K45</f>
        <v>0</v>
      </c>
      <c r="L9" s="8">
        <f t="shared" si="9"/>
        <v>0</v>
      </c>
      <c r="M9" s="8">
        <f t="shared" si="9"/>
        <v>0</v>
      </c>
      <c r="N9" s="8">
        <f t="shared" si="9"/>
        <v>0</v>
      </c>
      <c r="O9" s="8">
        <f t="shared" si="5"/>
        <v>0</v>
      </c>
      <c r="P9" s="8">
        <f t="shared" si="9"/>
        <v>0</v>
      </c>
      <c r="Q9" s="8">
        <f t="shared" si="9"/>
        <v>0</v>
      </c>
      <c r="R9" s="8">
        <f t="shared" si="9"/>
        <v>0</v>
      </c>
      <c r="S9" s="8">
        <f t="shared" si="9"/>
        <v>0</v>
      </c>
      <c r="T9" s="8">
        <f t="shared" si="9"/>
        <v>0</v>
      </c>
      <c r="U9" s="8">
        <f t="shared" si="9"/>
        <v>0</v>
      </c>
      <c r="V9" s="8" t="e">
        <f t="shared" si="3"/>
        <v>#DIV/0!</v>
      </c>
      <c r="W9" s="4"/>
    </row>
    <row r="10" spans="1:23" ht="18" customHeight="1">
      <c r="A10" s="6" t="s">
        <v>296</v>
      </c>
      <c r="B10" s="17" t="s">
        <v>301</v>
      </c>
      <c r="C10" s="8">
        <f t="shared" si="6"/>
        <v>0</v>
      </c>
      <c r="D10" s="8">
        <f t="shared" si="6"/>
        <v>0</v>
      </c>
      <c r="E10" s="8"/>
      <c r="F10" s="8">
        <f t="shared" si="1"/>
        <v>0</v>
      </c>
      <c r="G10" s="8"/>
      <c r="H10" s="8">
        <f t="shared" si="7"/>
        <v>0</v>
      </c>
      <c r="I10" s="8">
        <f t="shared" si="8"/>
        <v>0</v>
      </c>
      <c r="J10" s="8">
        <f t="shared" si="9"/>
        <v>0</v>
      </c>
      <c r="K10" s="8">
        <f t="shared" si="9"/>
        <v>0</v>
      </c>
      <c r="L10" s="8">
        <f t="shared" si="9"/>
        <v>0</v>
      </c>
      <c r="M10" s="8">
        <f t="shared" si="9"/>
        <v>0</v>
      </c>
      <c r="N10" s="8">
        <f t="shared" si="9"/>
        <v>0</v>
      </c>
      <c r="O10" s="8">
        <f t="shared" si="5"/>
        <v>0</v>
      </c>
      <c r="P10" s="8">
        <f t="shared" si="9"/>
        <v>0</v>
      </c>
      <c r="Q10" s="8">
        <f t="shared" si="9"/>
        <v>0</v>
      </c>
      <c r="R10" s="8">
        <f t="shared" si="9"/>
        <v>0</v>
      </c>
      <c r="S10" s="8">
        <f t="shared" si="9"/>
        <v>0</v>
      </c>
      <c r="T10" s="8">
        <f t="shared" si="9"/>
        <v>0</v>
      </c>
      <c r="U10" s="8">
        <f t="shared" si="9"/>
        <v>0</v>
      </c>
      <c r="V10" s="8" t="e">
        <f t="shared" si="3"/>
        <v>#DIV/0!</v>
      </c>
      <c r="W10" s="4"/>
    </row>
    <row r="11" spans="1:23" ht="18" customHeight="1">
      <c r="A11" s="6" t="s">
        <v>296</v>
      </c>
      <c r="B11" s="17" t="s">
        <v>302</v>
      </c>
      <c r="C11" s="8">
        <f t="shared" si="6"/>
        <v>0</v>
      </c>
      <c r="D11" s="8">
        <f t="shared" si="6"/>
        <v>0</v>
      </c>
      <c r="E11" s="9"/>
      <c r="F11" s="8">
        <f t="shared" si="1"/>
        <v>0</v>
      </c>
      <c r="G11" s="9"/>
      <c r="H11" s="8">
        <f t="shared" si="7"/>
        <v>0</v>
      </c>
      <c r="I11" s="8">
        <f t="shared" si="8"/>
        <v>0</v>
      </c>
      <c r="J11" s="8">
        <f t="shared" si="9"/>
        <v>0</v>
      </c>
      <c r="K11" s="8">
        <f t="shared" si="9"/>
        <v>0</v>
      </c>
      <c r="L11" s="8">
        <f t="shared" si="9"/>
        <v>0</v>
      </c>
      <c r="M11" s="8">
        <f t="shared" si="9"/>
        <v>0</v>
      </c>
      <c r="N11" s="8">
        <f t="shared" si="9"/>
        <v>0</v>
      </c>
      <c r="O11" s="8">
        <f t="shared" si="5"/>
        <v>0</v>
      </c>
      <c r="P11" s="8">
        <f t="shared" si="9"/>
        <v>0</v>
      </c>
      <c r="Q11" s="8">
        <f t="shared" si="9"/>
        <v>0</v>
      </c>
      <c r="R11" s="8">
        <f t="shared" si="9"/>
        <v>0</v>
      </c>
      <c r="S11" s="8">
        <f t="shared" si="9"/>
        <v>0</v>
      </c>
      <c r="T11" s="8">
        <f t="shared" si="9"/>
        <v>0</v>
      </c>
      <c r="U11" s="8">
        <f t="shared" si="9"/>
        <v>0</v>
      </c>
      <c r="V11" s="8" t="e">
        <f t="shared" si="3"/>
        <v>#DIV/0!</v>
      </c>
      <c r="W11" s="4"/>
    </row>
    <row r="12" spans="1:23" ht="18" customHeight="1">
      <c r="A12" s="6"/>
      <c r="B12" s="17" t="s">
        <v>303</v>
      </c>
      <c r="C12" s="8">
        <f t="shared" si="6"/>
        <v>0</v>
      </c>
      <c r="D12" s="8">
        <f t="shared" si="6"/>
        <v>0</v>
      </c>
      <c r="E12" s="9"/>
      <c r="F12" s="8">
        <f t="shared" si="1"/>
        <v>0</v>
      </c>
      <c r="G12" s="9"/>
      <c r="H12" s="8">
        <f t="shared" si="7"/>
        <v>0</v>
      </c>
      <c r="I12" s="8">
        <f t="shared" si="8"/>
        <v>0</v>
      </c>
      <c r="J12" s="8">
        <f t="shared" si="9"/>
        <v>0</v>
      </c>
      <c r="K12" s="8">
        <f t="shared" si="9"/>
        <v>0</v>
      </c>
      <c r="L12" s="8">
        <f t="shared" si="9"/>
        <v>0</v>
      </c>
      <c r="M12" s="8">
        <f t="shared" si="9"/>
        <v>0</v>
      </c>
      <c r="N12" s="8">
        <f t="shared" si="9"/>
        <v>0</v>
      </c>
      <c r="O12" s="8">
        <f t="shared" si="5"/>
        <v>0</v>
      </c>
      <c r="P12" s="8">
        <f t="shared" si="9"/>
        <v>0</v>
      </c>
      <c r="Q12" s="8">
        <f t="shared" si="9"/>
        <v>0</v>
      </c>
      <c r="R12" s="8">
        <f t="shared" si="9"/>
        <v>0</v>
      </c>
      <c r="S12" s="8">
        <f t="shared" si="9"/>
        <v>0</v>
      </c>
      <c r="T12" s="8">
        <f t="shared" si="9"/>
        <v>0</v>
      </c>
      <c r="U12" s="8">
        <f t="shared" si="9"/>
        <v>0</v>
      </c>
      <c r="V12" s="8" t="e">
        <f t="shared" si="3"/>
        <v>#DIV/0!</v>
      </c>
      <c r="W12" s="4"/>
    </row>
    <row r="13" spans="1:23" ht="18" customHeight="1">
      <c r="A13" s="6" t="s">
        <v>296</v>
      </c>
      <c r="B13" s="17" t="s">
        <v>304</v>
      </c>
      <c r="C13" s="8">
        <f t="shared" si="6"/>
        <v>0</v>
      </c>
      <c r="D13" s="8">
        <f t="shared" si="6"/>
        <v>0</v>
      </c>
      <c r="E13" s="9"/>
      <c r="F13" s="8">
        <f t="shared" si="1"/>
        <v>0</v>
      </c>
      <c r="G13" s="9"/>
      <c r="H13" s="8">
        <f t="shared" si="7"/>
        <v>0</v>
      </c>
      <c r="I13" s="8">
        <f t="shared" si="8"/>
        <v>0</v>
      </c>
      <c r="J13" s="8">
        <f t="shared" si="9"/>
        <v>0</v>
      </c>
      <c r="K13" s="8">
        <f t="shared" si="9"/>
        <v>0</v>
      </c>
      <c r="L13" s="8">
        <f t="shared" si="9"/>
        <v>0</v>
      </c>
      <c r="M13" s="8">
        <f t="shared" si="9"/>
        <v>0</v>
      </c>
      <c r="N13" s="8">
        <f t="shared" si="9"/>
        <v>0</v>
      </c>
      <c r="O13" s="8">
        <f t="shared" si="5"/>
        <v>0</v>
      </c>
      <c r="P13" s="8">
        <f t="shared" si="9"/>
        <v>0</v>
      </c>
      <c r="Q13" s="8">
        <f t="shared" si="9"/>
        <v>0</v>
      </c>
      <c r="R13" s="8">
        <f t="shared" si="9"/>
        <v>0</v>
      </c>
      <c r="S13" s="8">
        <f t="shared" si="9"/>
        <v>0</v>
      </c>
      <c r="T13" s="8">
        <f t="shared" si="9"/>
        <v>0</v>
      </c>
      <c r="U13" s="8">
        <f t="shared" si="9"/>
        <v>0</v>
      </c>
      <c r="V13" s="8" t="e">
        <f t="shared" si="3"/>
        <v>#DIV/0!</v>
      </c>
      <c r="W13" s="4"/>
    </row>
    <row r="14" spans="1:23" ht="18" customHeight="1">
      <c r="A14" s="6" t="s">
        <v>296</v>
      </c>
      <c r="B14" s="17" t="s">
        <v>305</v>
      </c>
      <c r="C14" s="8">
        <f t="shared" si="6"/>
        <v>98679.68</v>
      </c>
      <c r="D14" s="8">
        <f t="shared" si="6"/>
        <v>21050.16</v>
      </c>
      <c r="E14" s="9"/>
      <c r="F14" s="8">
        <f t="shared" si="1"/>
        <v>119729.84</v>
      </c>
      <c r="G14" s="9"/>
      <c r="H14" s="8">
        <f t="shared" si="7"/>
        <v>89561.52</v>
      </c>
      <c r="I14" s="8">
        <f t="shared" si="8"/>
        <v>63600</v>
      </c>
      <c r="J14" s="8">
        <f t="shared" si="9"/>
        <v>63600</v>
      </c>
      <c r="K14" s="8">
        <f t="shared" si="9"/>
        <v>0</v>
      </c>
      <c r="L14" s="8">
        <f t="shared" si="9"/>
        <v>0</v>
      </c>
      <c r="M14" s="8">
        <f t="shared" si="9"/>
        <v>0</v>
      </c>
      <c r="N14" s="8">
        <f t="shared" si="9"/>
        <v>0</v>
      </c>
      <c r="O14" s="8">
        <f t="shared" si="5"/>
        <v>0</v>
      </c>
      <c r="P14" s="8">
        <f t="shared" si="9"/>
        <v>0</v>
      </c>
      <c r="Q14" s="8">
        <f t="shared" si="9"/>
        <v>16103.52</v>
      </c>
      <c r="R14" s="8">
        <f t="shared" si="9"/>
        <v>7632</v>
      </c>
      <c r="S14" s="8">
        <f t="shared" si="9"/>
        <v>1272</v>
      </c>
      <c r="T14" s="8">
        <f t="shared" si="9"/>
        <v>954</v>
      </c>
      <c r="U14" s="8">
        <f t="shared" si="9"/>
        <v>0</v>
      </c>
      <c r="V14" s="8">
        <f t="shared" si="3"/>
        <v>0.7480300650197145</v>
      </c>
      <c r="W14" s="4"/>
    </row>
    <row r="15" spans="1:23" ht="18" customHeight="1">
      <c r="A15" s="6" t="s">
        <v>306</v>
      </c>
      <c r="B15" s="17" t="s">
        <v>297</v>
      </c>
      <c r="C15" s="8">
        <f>C16+C23</f>
        <v>30473.61</v>
      </c>
      <c r="D15" s="8">
        <f>D16+D23</f>
        <v>0</v>
      </c>
      <c r="E15" s="8"/>
      <c r="F15" s="8">
        <f t="shared" si="1"/>
        <v>30473.61</v>
      </c>
      <c r="G15" s="8"/>
      <c r="H15" s="8">
        <f>H16+H23</f>
        <v>22390.38</v>
      </c>
      <c r="I15" s="8">
        <f aca="true" t="shared" si="10" ref="I15:U15">I16+I23</f>
        <v>15900</v>
      </c>
      <c r="J15" s="8">
        <f t="shared" si="10"/>
        <v>15900</v>
      </c>
      <c r="K15" s="8">
        <f t="shared" si="10"/>
        <v>0</v>
      </c>
      <c r="L15" s="8">
        <f t="shared" si="10"/>
        <v>0</v>
      </c>
      <c r="M15" s="8">
        <f t="shared" si="10"/>
        <v>0</v>
      </c>
      <c r="N15" s="8">
        <f t="shared" si="10"/>
        <v>0</v>
      </c>
      <c r="O15" s="8">
        <f t="shared" si="10"/>
        <v>0</v>
      </c>
      <c r="P15" s="8">
        <f t="shared" si="10"/>
        <v>0</v>
      </c>
      <c r="Q15" s="8">
        <f t="shared" si="10"/>
        <v>4025.88</v>
      </c>
      <c r="R15" s="8">
        <f t="shared" si="10"/>
        <v>1908</v>
      </c>
      <c r="S15" s="8">
        <f t="shared" si="10"/>
        <v>318</v>
      </c>
      <c r="T15" s="8">
        <f t="shared" si="10"/>
        <v>238.5</v>
      </c>
      <c r="U15" s="8">
        <f t="shared" si="10"/>
        <v>0</v>
      </c>
      <c r="V15" s="8">
        <f t="shared" si="3"/>
        <v>0.7347465561185563</v>
      </c>
      <c r="W15" s="4"/>
    </row>
    <row r="16" spans="1:23" ht="18" customHeight="1">
      <c r="A16" s="6" t="s">
        <v>306</v>
      </c>
      <c r="B16" s="17" t="s">
        <v>298</v>
      </c>
      <c r="C16" s="8">
        <f>SUM(C17:C22)</f>
        <v>0</v>
      </c>
      <c r="D16" s="8">
        <f>SUM(D17:D22)</f>
        <v>0</v>
      </c>
      <c r="E16" s="8"/>
      <c r="F16" s="8">
        <f t="shared" si="1"/>
        <v>0</v>
      </c>
      <c r="G16" s="8"/>
      <c r="H16" s="8">
        <f>SUM(H17:H22)</f>
        <v>0</v>
      </c>
      <c r="I16" s="8">
        <f aca="true" t="shared" si="11" ref="I16:U16">SUM(I17:I22)</f>
        <v>0</v>
      </c>
      <c r="J16" s="8">
        <f t="shared" si="11"/>
        <v>0</v>
      </c>
      <c r="K16" s="8">
        <f t="shared" si="11"/>
        <v>0</v>
      </c>
      <c r="L16" s="8">
        <f t="shared" si="11"/>
        <v>0</v>
      </c>
      <c r="M16" s="8">
        <f t="shared" si="11"/>
        <v>0</v>
      </c>
      <c r="N16" s="8">
        <f t="shared" si="11"/>
        <v>0</v>
      </c>
      <c r="O16" s="8">
        <f t="shared" si="11"/>
        <v>0</v>
      </c>
      <c r="P16" s="8">
        <f t="shared" si="11"/>
        <v>0</v>
      </c>
      <c r="Q16" s="8">
        <f t="shared" si="11"/>
        <v>0</v>
      </c>
      <c r="R16" s="8">
        <f t="shared" si="11"/>
        <v>0</v>
      </c>
      <c r="S16" s="8">
        <f t="shared" si="11"/>
        <v>0</v>
      </c>
      <c r="T16" s="8">
        <f t="shared" si="11"/>
        <v>0</v>
      </c>
      <c r="U16" s="8">
        <f t="shared" si="11"/>
        <v>0</v>
      </c>
      <c r="V16" s="8" t="e">
        <f t="shared" si="3"/>
        <v>#DIV/0!</v>
      </c>
      <c r="W16" s="4"/>
    </row>
    <row r="17" spans="1:23" ht="18" customHeight="1">
      <c r="A17" s="6" t="s">
        <v>306</v>
      </c>
      <c r="B17" s="17" t="s">
        <v>299</v>
      </c>
      <c r="C17" s="60"/>
      <c r="D17" s="60"/>
      <c r="E17" s="9"/>
      <c r="F17" s="8">
        <f t="shared" si="1"/>
        <v>0</v>
      </c>
      <c r="G17" s="9"/>
      <c r="H17" s="8">
        <f>I17+P17+Q17+R17+S17+T17+U17</f>
        <v>0</v>
      </c>
      <c r="I17" s="8">
        <f>SUM(J17:O17)</f>
        <v>0</v>
      </c>
      <c r="J17" s="10"/>
      <c r="K17" s="10"/>
      <c r="L17" s="10"/>
      <c r="M17" s="10"/>
      <c r="N17" s="10"/>
      <c r="O17" s="10"/>
      <c r="P17" s="10"/>
      <c r="Q17" s="173"/>
      <c r="R17" s="23">
        <f aca="true" t="shared" si="12" ref="R17:R22">CEILING((J17+K17+L17)*12%,1)</f>
        <v>0</v>
      </c>
      <c r="S17" s="23">
        <f>I17*2%</f>
        <v>0</v>
      </c>
      <c r="T17" s="23">
        <f>I17*1.5%</f>
        <v>0</v>
      </c>
      <c r="U17" s="10"/>
      <c r="V17" s="8" t="e">
        <f t="shared" si="3"/>
        <v>#DIV/0!</v>
      </c>
      <c r="W17" s="4"/>
    </row>
    <row r="18" spans="1:23" ht="18" customHeight="1">
      <c r="A18" s="6" t="s">
        <v>306</v>
      </c>
      <c r="B18" s="17" t="s">
        <v>300</v>
      </c>
      <c r="C18" s="60"/>
      <c r="D18" s="60"/>
      <c r="E18" s="9"/>
      <c r="F18" s="8">
        <f t="shared" si="1"/>
        <v>0</v>
      </c>
      <c r="G18" s="9"/>
      <c r="H18" s="8">
        <f aca="true" t="shared" si="13" ref="H18:H23">I18+P18+Q18+R18+S18+T18+U18</f>
        <v>0</v>
      </c>
      <c r="I18" s="8">
        <f aca="true" t="shared" si="14" ref="I18:I23">SUM(J18:O18)</f>
        <v>0</v>
      </c>
      <c r="J18" s="10"/>
      <c r="K18" s="10"/>
      <c r="L18" s="10"/>
      <c r="M18" s="10"/>
      <c r="N18" s="10"/>
      <c r="O18" s="10"/>
      <c r="P18" s="10"/>
      <c r="Q18" s="173"/>
      <c r="R18" s="23">
        <f t="shared" si="12"/>
        <v>0</v>
      </c>
      <c r="S18" s="23">
        <f aca="true" t="shared" si="15" ref="S18:S23">I18*2%</f>
        <v>0</v>
      </c>
      <c r="T18" s="23">
        <f aca="true" t="shared" si="16" ref="T18:T23">I18*1.5%</f>
        <v>0</v>
      </c>
      <c r="U18" s="10"/>
      <c r="V18" s="8" t="e">
        <f t="shared" si="3"/>
        <v>#DIV/0!</v>
      </c>
      <c r="W18" s="4"/>
    </row>
    <row r="19" spans="1:23" ht="18" customHeight="1">
      <c r="A19" s="6" t="s">
        <v>306</v>
      </c>
      <c r="B19" s="17" t="s">
        <v>301</v>
      </c>
      <c r="C19" s="60"/>
      <c r="D19" s="60"/>
      <c r="E19" s="8"/>
      <c r="F19" s="8">
        <f t="shared" si="1"/>
        <v>0</v>
      </c>
      <c r="G19" s="8"/>
      <c r="H19" s="8">
        <f t="shared" si="13"/>
        <v>0</v>
      </c>
      <c r="I19" s="8">
        <f t="shared" si="14"/>
        <v>0</v>
      </c>
      <c r="J19" s="15"/>
      <c r="K19" s="10"/>
      <c r="L19" s="15"/>
      <c r="M19" s="15"/>
      <c r="N19" s="15"/>
      <c r="O19" s="15"/>
      <c r="P19" s="15"/>
      <c r="Q19" s="173"/>
      <c r="R19" s="23">
        <f t="shared" si="12"/>
        <v>0</v>
      </c>
      <c r="S19" s="23">
        <f t="shared" si="15"/>
        <v>0</v>
      </c>
      <c r="T19" s="23">
        <f t="shared" si="16"/>
        <v>0</v>
      </c>
      <c r="U19" s="10"/>
      <c r="V19" s="8" t="e">
        <f t="shared" si="3"/>
        <v>#DIV/0!</v>
      </c>
      <c r="W19" s="4"/>
    </row>
    <row r="20" spans="1:23" ht="18" customHeight="1">
      <c r="A20" s="6"/>
      <c r="B20" s="17" t="s">
        <v>302</v>
      </c>
      <c r="C20" s="60"/>
      <c r="D20" s="60"/>
      <c r="E20" s="8"/>
      <c r="F20" s="8">
        <f t="shared" si="1"/>
        <v>0</v>
      </c>
      <c r="G20" s="8"/>
      <c r="H20" s="8">
        <f t="shared" si="13"/>
        <v>0</v>
      </c>
      <c r="I20" s="8">
        <f t="shared" si="14"/>
        <v>0</v>
      </c>
      <c r="J20" s="15"/>
      <c r="K20" s="10"/>
      <c r="L20" s="15"/>
      <c r="M20" s="15"/>
      <c r="N20" s="15"/>
      <c r="O20" s="15"/>
      <c r="P20" s="15"/>
      <c r="Q20" s="173"/>
      <c r="R20" s="23">
        <f t="shared" si="12"/>
        <v>0</v>
      </c>
      <c r="S20" s="23">
        <f t="shared" si="15"/>
        <v>0</v>
      </c>
      <c r="T20" s="23">
        <f t="shared" si="16"/>
        <v>0</v>
      </c>
      <c r="U20" s="10"/>
      <c r="V20" s="8" t="e">
        <f t="shared" si="3"/>
        <v>#DIV/0!</v>
      </c>
      <c r="W20" s="4"/>
    </row>
    <row r="21" spans="1:23" ht="18" customHeight="1">
      <c r="A21" s="6" t="s">
        <v>306</v>
      </c>
      <c r="B21" s="17" t="s">
        <v>303</v>
      </c>
      <c r="C21" s="60"/>
      <c r="D21" s="60"/>
      <c r="E21" s="9"/>
      <c r="F21" s="8">
        <f t="shared" si="1"/>
        <v>0</v>
      </c>
      <c r="G21" s="9"/>
      <c r="H21" s="8">
        <f t="shared" si="13"/>
        <v>0</v>
      </c>
      <c r="I21" s="8">
        <f t="shared" si="14"/>
        <v>0</v>
      </c>
      <c r="J21" s="10"/>
      <c r="K21" s="10"/>
      <c r="L21" s="10"/>
      <c r="M21" s="10"/>
      <c r="N21" s="10"/>
      <c r="O21" s="10"/>
      <c r="P21" s="10"/>
      <c r="Q21" s="173"/>
      <c r="R21" s="23">
        <f t="shared" si="12"/>
        <v>0</v>
      </c>
      <c r="S21" s="23">
        <f t="shared" si="15"/>
        <v>0</v>
      </c>
      <c r="T21" s="23">
        <f t="shared" si="16"/>
        <v>0</v>
      </c>
      <c r="U21" s="10"/>
      <c r="V21" s="8" t="e">
        <f t="shared" si="3"/>
        <v>#DIV/0!</v>
      </c>
      <c r="W21" s="4"/>
    </row>
    <row r="22" spans="1:23" ht="18" customHeight="1">
      <c r="A22" s="6" t="s">
        <v>306</v>
      </c>
      <c r="B22" s="17" t="s">
        <v>304</v>
      </c>
      <c r="C22" s="60"/>
      <c r="D22" s="60"/>
      <c r="E22" s="9"/>
      <c r="F22" s="8">
        <f t="shared" si="1"/>
        <v>0</v>
      </c>
      <c r="G22" s="9"/>
      <c r="H22" s="8">
        <f t="shared" si="13"/>
        <v>0</v>
      </c>
      <c r="I22" s="8">
        <f t="shared" si="14"/>
        <v>0</v>
      </c>
      <c r="J22" s="10"/>
      <c r="K22" s="10"/>
      <c r="L22" s="10"/>
      <c r="M22" s="10"/>
      <c r="N22" s="10"/>
      <c r="O22" s="10"/>
      <c r="P22" s="10"/>
      <c r="Q22" s="173"/>
      <c r="R22" s="23">
        <f t="shared" si="12"/>
        <v>0</v>
      </c>
      <c r="S22" s="23">
        <f t="shared" si="15"/>
        <v>0</v>
      </c>
      <c r="T22" s="23">
        <f t="shared" si="16"/>
        <v>0</v>
      </c>
      <c r="U22" s="10"/>
      <c r="V22" s="8" t="e">
        <f t="shared" si="3"/>
        <v>#DIV/0!</v>
      </c>
      <c r="W22" s="4"/>
    </row>
    <row r="23" spans="1:23" ht="18" customHeight="1">
      <c r="A23" s="6" t="s">
        <v>306</v>
      </c>
      <c r="B23" s="17" t="s">
        <v>305</v>
      </c>
      <c r="C23" s="62">
        <v>30473.61</v>
      </c>
      <c r="D23" s="60"/>
      <c r="E23" s="9"/>
      <c r="F23" s="8">
        <f t="shared" si="1"/>
        <v>30473.61</v>
      </c>
      <c r="G23" s="9"/>
      <c r="H23" s="8">
        <f t="shared" si="13"/>
        <v>22390.38</v>
      </c>
      <c r="I23" s="8">
        <f t="shared" si="14"/>
        <v>15900</v>
      </c>
      <c r="J23" s="15">
        <f>'人工成本（基础表）'!M178*3</f>
        <v>15900</v>
      </c>
      <c r="K23" s="10"/>
      <c r="L23" s="10"/>
      <c r="M23" s="10"/>
      <c r="N23" s="10"/>
      <c r="O23" s="10"/>
      <c r="P23" s="10"/>
      <c r="Q23" s="8">
        <f>('人工成本（基础表）'!O178+'人工成本（基础表）'!P178+'人工成本（基础表）'!Q178+'人工成本（基础表）'!R178)*3</f>
        <v>4025.88</v>
      </c>
      <c r="R23" s="23">
        <f>'人工成本（基础表）'!T175*3</f>
        <v>1908</v>
      </c>
      <c r="S23" s="23">
        <f t="shared" si="15"/>
        <v>318</v>
      </c>
      <c r="T23" s="23">
        <f t="shared" si="16"/>
        <v>238.5</v>
      </c>
      <c r="U23" s="10"/>
      <c r="V23" s="8">
        <f t="shared" si="3"/>
        <v>0.7347465561185563</v>
      </c>
      <c r="W23" s="4"/>
    </row>
    <row r="24" spans="1:23" ht="18" customHeight="1">
      <c r="A24" s="6" t="s">
        <v>307</v>
      </c>
      <c r="B24" s="17" t="s">
        <v>297</v>
      </c>
      <c r="C24" s="8">
        <f>C25+C32</f>
        <v>38273.61</v>
      </c>
      <c r="D24" s="8">
        <f>D25+D32</f>
        <v>0</v>
      </c>
      <c r="E24" s="8"/>
      <c r="F24" s="8">
        <f t="shared" si="1"/>
        <v>38273.61</v>
      </c>
      <c r="G24" s="8"/>
      <c r="H24" s="8">
        <f>H25+H32</f>
        <v>22390.38</v>
      </c>
      <c r="I24" s="8">
        <f aca="true" t="shared" si="17" ref="I24:U24">I25+I32</f>
        <v>15900</v>
      </c>
      <c r="J24" s="8">
        <f t="shared" si="17"/>
        <v>15900</v>
      </c>
      <c r="K24" s="8">
        <f t="shared" si="17"/>
        <v>0</v>
      </c>
      <c r="L24" s="8">
        <f t="shared" si="17"/>
        <v>0</v>
      </c>
      <c r="M24" s="8">
        <f t="shared" si="17"/>
        <v>0</v>
      </c>
      <c r="N24" s="8">
        <f t="shared" si="17"/>
        <v>0</v>
      </c>
      <c r="O24" s="8">
        <f t="shared" si="17"/>
        <v>0</v>
      </c>
      <c r="P24" s="8">
        <f t="shared" si="17"/>
        <v>0</v>
      </c>
      <c r="Q24" s="8">
        <f t="shared" si="17"/>
        <v>4025.88</v>
      </c>
      <c r="R24" s="8">
        <f t="shared" si="17"/>
        <v>1908</v>
      </c>
      <c r="S24" s="8">
        <f t="shared" si="17"/>
        <v>318</v>
      </c>
      <c r="T24" s="8">
        <f t="shared" si="17"/>
        <v>238.5</v>
      </c>
      <c r="U24" s="8">
        <f t="shared" si="17"/>
        <v>0</v>
      </c>
      <c r="V24" s="8">
        <f t="shared" si="3"/>
        <v>0.5850083125161175</v>
      </c>
      <c r="W24" s="4"/>
    </row>
    <row r="25" spans="1:23" ht="18" customHeight="1">
      <c r="A25" s="6" t="s">
        <v>307</v>
      </c>
      <c r="B25" s="17" t="s">
        <v>298</v>
      </c>
      <c r="C25" s="8">
        <f>SUM(C26:C31)</f>
        <v>0</v>
      </c>
      <c r="D25" s="8">
        <f>SUM(D26:D31)</f>
        <v>0</v>
      </c>
      <c r="E25" s="8"/>
      <c r="F25" s="8">
        <f t="shared" si="1"/>
        <v>0</v>
      </c>
      <c r="G25" s="8"/>
      <c r="H25" s="8">
        <f>SUM(H26:H31)</f>
        <v>0</v>
      </c>
      <c r="I25" s="8">
        <f aca="true" t="shared" si="18" ref="I25:U25">SUM(I26:I31)</f>
        <v>0</v>
      </c>
      <c r="J25" s="8">
        <f t="shared" si="18"/>
        <v>0</v>
      </c>
      <c r="K25" s="8">
        <f t="shared" si="18"/>
        <v>0</v>
      </c>
      <c r="L25" s="8">
        <f t="shared" si="18"/>
        <v>0</v>
      </c>
      <c r="M25" s="8">
        <f t="shared" si="18"/>
        <v>0</v>
      </c>
      <c r="N25" s="8">
        <f t="shared" si="18"/>
        <v>0</v>
      </c>
      <c r="O25" s="8">
        <f t="shared" si="18"/>
        <v>0</v>
      </c>
      <c r="P25" s="8">
        <f t="shared" si="18"/>
        <v>0</v>
      </c>
      <c r="Q25" s="8">
        <f t="shared" si="18"/>
        <v>0</v>
      </c>
      <c r="R25" s="8">
        <f t="shared" si="18"/>
        <v>0</v>
      </c>
      <c r="S25" s="8">
        <f t="shared" si="18"/>
        <v>0</v>
      </c>
      <c r="T25" s="8">
        <f t="shared" si="18"/>
        <v>0</v>
      </c>
      <c r="U25" s="8">
        <f t="shared" si="18"/>
        <v>0</v>
      </c>
      <c r="V25" s="8" t="e">
        <f t="shared" si="3"/>
        <v>#DIV/0!</v>
      </c>
      <c r="W25" s="4"/>
    </row>
    <row r="26" spans="1:23" ht="18" customHeight="1">
      <c r="A26" s="6" t="s">
        <v>307</v>
      </c>
      <c r="B26" s="17" t="s">
        <v>299</v>
      </c>
      <c r="C26" s="60"/>
      <c r="D26" s="60"/>
      <c r="E26" s="9"/>
      <c r="F26" s="8">
        <f t="shared" si="1"/>
        <v>0</v>
      </c>
      <c r="G26" s="9"/>
      <c r="H26" s="8">
        <f>I26+P26+Q26+R26+S26+T26+U26</f>
        <v>0</v>
      </c>
      <c r="I26" s="8">
        <f aca="true" t="shared" si="19" ref="I26:I32">SUM(J26:N26)</f>
        <v>0</v>
      </c>
      <c r="J26" s="10"/>
      <c r="K26" s="10"/>
      <c r="L26" s="10"/>
      <c r="M26" s="10"/>
      <c r="N26" s="10"/>
      <c r="O26" s="10"/>
      <c r="P26" s="10"/>
      <c r="Q26" s="173"/>
      <c r="R26" s="23">
        <f aca="true" t="shared" si="20" ref="R26:R31">CEILING((J26+K26+L26)*12%,1)</f>
        <v>0</v>
      </c>
      <c r="S26" s="23">
        <f>I26*2%</f>
        <v>0</v>
      </c>
      <c r="T26" s="23">
        <f>I26*1.5%</f>
        <v>0</v>
      </c>
      <c r="U26" s="10"/>
      <c r="V26" s="8" t="e">
        <f t="shared" si="3"/>
        <v>#DIV/0!</v>
      </c>
      <c r="W26" s="4"/>
    </row>
    <row r="27" spans="1:23" ht="18" customHeight="1">
      <c r="A27" s="6" t="s">
        <v>307</v>
      </c>
      <c r="B27" s="17" t="s">
        <v>300</v>
      </c>
      <c r="C27" s="60"/>
      <c r="D27" s="60"/>
      <c r="E27" s="9"/>
      <c r="F27" s="8">
        <f t="shared" si="1"/>
        <v>0</v>
      </c>
      <c r="G27" s="9"/>
      <c r="H27" s="8">
        <f aca="true" t="shared" si="21" ref="H27:H32">I27+P27+Q27+R27+S27+T27+U27</f>
        <v>0</v>
      </c>
      <c r="I27" s="8">
        <f t="shared" si="19"/>
        <v>0</v>
      </c>
      <c r="J27" s="10"/>
      <c r="K27" s="10"/>
      <c r="L27" s="10"/>
      <c r="M27" s="10"/>
      <c r="N27" s="10"/>
      <c r="O27" s="10"/>
      <c r="P27" s="10"/>
      <c r="Q27" s="173"/>
      <c r="R27" s="23">
        <f t="shared" si="20"/>
        <v>0</v>
      </c>
      <c r="S27" s="23">
        <f aca="true" t="shared" si="22" ref="S27:S32">I27*2%</f>
        <v>0</v>
      </c>
      <c r="T27" s="23">
        <f aca="true" t="shared" si="23" ref="T27:T32">I27*1.5%</f>
        <v>0</v>
      </c>
      <c r="U27" s="10"/>
      <c r="V27" s="8" t="e">
        <f t="shared" si="3"/>
        <v>#DIV/0!</v>
      </c>
      <c r="W27" s="4"/>
    </row>
    <row r="28" spans="1:23" ht="18" customHeight="1">
      <c r="A28" s="6"/>
      <c r="B28" s="17" t="s">
        <v>301</v>
      </c>
      <c r="C28" s="60"/>
      <c r="D28" s="60"/>
      <c r="E28" s="9"/>
      <c r="F28" s="8">
        <f t="shared" si="1"/>
        <v>0</v>
      </c>
      <c r="G28" s="9"/>
      <c r="H28" s="8">
        <f t="shared" si="21"/>
        <v>0</v>
      </c>
      <c r="I28" s="8">
        <f t="shared" si="19"/>
        <v>0</v>
      </c>
      <c r="J28" s="10"/>
      <c r="K28" s="10"/>
      <c r="L28" s="10"/>
      <c r="M28" s="10"/>
      <c r="N28" s="10"/>
      <c r="O28" s="10"/>
      <c r="P28" s="10"/>
      <c r="Q28" s="173"/>
      <c r="R28" s="23">
        <f t="shared" si="20"/>
        <v>0</v>
      </c>
      <c r="S28" s="23">
        <f t="shared" si="22"/>
        <v>0</v>
      </c>
      <c r="T28" s="23">
        <f t="shared" si="23"/>
        <v>0</v>
      </c>
      <c r="U28" s="10"/>
      <c r="V28" s="8" t="e">
        <f t="shared" si="3"/>
        <v>#DIV/0!</v>
      </c>
      <c r="W28" s="4"/>
    </row>
    <row r="29" spans="1:23" ht="18" customHeight="1">
      <c r="A29" s="6" t="s">
        <v>307</v>
      </c>
      <c r="B29" s="17" t="s">
        <v>302</v>
      </c>
      <c r="C29" s="60"/>
      <c r="D29" s="60"/>
      <c r="E29" s="8"/>
      <c r="F29" s="8">
        <f t="shared" si="1"/>
        <v>0</v>
      </c>
      <c r="G29" s="8"/>
      <c r="H29" s="8">
        <f t="shared" si="21"/>
        <v>0</v>
      </c>
      <c r="I29" s="8">
        <f t="shared" si="19"/>
        <v>0</v>
      </c>
      <c r="J29" s="15"/>
      <c r="K29" s="10"/>
      <c r="L29" s="10"/>
      <c r="M29" s="10"/>
      <c r="N29" s="10"/>
      <c r="O29" s="10"/>
      <c r="P29" s="15"/>
      <c r="Q29" s="173"/>
      <c r="R29" s="23">
        <f t="shared" si="20"/>
        <v>0</v>
      </c>
      <c r="S29" s="23">
        <f t="shared" si="22"/>
        <v>0</v>
      </c>
      <c r="T29" s="23">
        <f t="shared" si="23"/>
        <v>0</v>
      </c>
      <c r="U29" s="10"/>
      <c r="V29" s="8" t="e">
        <f t="shared" si="3"/>
        <v>#DIV/0!</v>
      </c>
      <c r="W29" s="4"/>
    </row>
    <row r="30" spans="1:23" ht="18" customHeight="1">
      <c r="A30" s="6" t="s">
        <v>307</v>
      </c>
      <c r="B30" s="17" t="s">
        <v>303</v>
      </c>
      <c r="C30" s="60"/>
      <c r="D30" s="60"/>
      <c r="E30" s="9"/>
      <c r="F30" s="8">
        <f t="shared" si="1"/>
        <v>0</v>
      </c>
      <c r="G30" s="9"/>
      <c r="H30" s="8">
        <f t="shared" si="21"/>
        <v>0</v>
      </c>
      <c r="I30" s="8">
        <f t="shared" si="19"/>
        <v>0</v>
      </c>
      <c r="J30" s="10"/>
      <c r="K30" s="10"/>
      <c r="L30" s="10"/>
      <c r="M30" s="10"/>
      <c r="N30" s="10"/>
      <c r="O30" s="10"/>
      <c r="P30" s="10"/>
      <c r="Q30" s="173"/>
      <c r="R30" s="23">
        <f t="shared" si="20"/>
        <v>0</v>
      </c>
      <c r="S30" s="23">
        <f t="shared" si="22"/>
        <v>0</v>
      </c>
      <c r="T30" s="23">
        <f t="shared" si="23"/>
        <v>0</v>
      </c>
      <c r="U30" s="10"/>
      <c r="V30" s="8" t="e">
        <f t="shared" si="3"/>
        <v>#DIV/0!</v>
      </c>
      <c r="W30" s="4"/>
    </row>
    <row r="31" spans="1:23" ht="18" customHeight="1">
      <c r="A31" s="6" t="s">
        <v>307</v>
      </c>
      <c r="B31" s="17" t="s">
        <v>304</v>
      </c>
      <c r="C31" s="60"/>
      <c r="D31" s="60"/>
      <c r="E31" s="9"/>
      <c r="F31" s="8">
        <f t="shared" si="1"/>
        <v>0</v>
      </c>
      <c r="G31" s="9"/>
      <c r="H31" s="8">
        <f t="shared" si="21"/>
        <v>0</v>
      </c>
      <c r="I31" s="8">
        <f t="shared" si="19"/>
        <v>0</v>
      </c>
      <c r="J31" s="10"/>
      <c r="K31" s="10"/>
      <c r="L31" s="10"/>
      <c r="M31" s="10"/>
      <c r="N31" s="10"/>
      <c r="O31" s="10"/>
      <c r="P31" s="10"/>
      <c r="Q31" s="173"/>
      <c r="R31" s="23">
        <f t="shared" si="20"/>
        <v>0</v>
      </c>
      <c r="S31" s="23">
        <f t="shared" si="22"/>
        <v>0</v>
      </c>
      <c r="T31" s="23">
        <f t="shared" si="23"/>
        <v>0</v>
      </c>
      <c r="U31" s="10"/>
      <c r="V31" s="8" t="e">
        <f t="shared" si="3"/>
        <v>#DIV/0!</v>
      </c>
      <c r="W31" s="4"/>
    </row>
    <row r="32" spans="1:23" ht="18" customHeight="1">
      <c r="A32" s="6" t="s">
        <v>307</v>
      </c>
      <c r="B32" s="17" t="s">
        <v>305</v>
      </c>
      <c r="C32" s="62">
        <v>38273.61</v>
      </c>
      <c r="D32" s="60"/>
      <c r="E32" s="9"/>
      <c r="F32" s="8">
        <f t="shared" si="1"/>
        <v>38273.61</v>
      </c>
      <c r="G32" s="9"/>
      <c r="H32" s="8">
        <f t="shared" si="21"/>
        <v>22390.38</v>
      </c>
      <c r="I32" s="8">
        <f t="shared" si="19"/>
        <v>15900</v>
      </c>
      <c r="J32" s="15">
        <f>J23</f>
        <v>15900</v>
      </c>
      <c r="K32" s="10"/>
      <c r="L32" s="10"/>
      <c r="M32" s="10"/>
      <c r="N32" s="10"/>
      <c r="O32" s="10"/>
      <c r="P32" s="10"/>
      <c r="Q32" s="8">
        <f>Q23</f>
        <v>4025.88</v>
      </c>
      <c r="R32" s="8">
        <f>R23</f>
        <v>1908</v>
      </c>
      <c r="S32" s="23">
        <f t="shared" si="22"/>
        <v>318</v>
      </c>
      <c r="T32" s="23">
        <f t="shared" si="23"/>
        <v>238.5</v>
      </c>
      <c r="U32" s="10"/>
      <c r="V32" s="8">
        <f t="shared" si="3"/>
        <v>0.5850083125161175</v>
      </c>
      <c r="W32" s="4"/>
    </row>
    <row r="33" spans="1:23" ht="18" customHeight="1">
      <c r="A33" s="6" t="s">
        <v>308</v>
      </c>
      <c r="B33" s="17" t="s">
        <v>297</v>
      </c>
      <c r="C33" s="8">
        <f>C34+C41</f>
        <v>29932.46</v>
      </c>
      <c r="D33" s="8">
        <f>D34+D41</f>
        <v>0</v>
      </c>
      <c r="E33" s="8"/>
      <c r="F33" s="8">
        <f t="shared" si="1"/>
        <v>29932.46</v>
      </c>
      <c r="G33" s="8"/>
      <c r="H33" s="8">
        <f>H34+H41</f>
        <v>22390.38</v>
      </c>
      <c r="I33" s="8">
        <f aca="true" t="shared" si="24" ref="I33:U33">I34+I41</f>
        <v>15900</v>
      </c>
      <c r="J33" s="8">
        <f t="shared" si="24"/>
        <v>15900</v>
      </c>
      <c r="K33" s="8">
        <f t="shared" si="24"/>
        <v>0</v>
      </c>
      <c r="L33" s="8">
        <f t="shared" si="24"/>
        <v>0</v>
      </c>
      <c r="M33" s="8">
        <f t="shared" si="24"/>
        <v>0</v>
      </c>
      <c r="N33" s="8">
        <f t="shared" si="24"/>
        <v>0</v>
      </c>
      <c r="O33" s="8">
        <f t="shared" si="24"/>
        <v>0</v>
      </c>
      <c r="P33" s="8">
        <f t="shared" si="24"/>
        <v>0</v>
      </c>
      <c r="Q33" s="8">
        <f t="shared" si="24"/>
        <v>4025.88</v>
      </c>
      <c r="R33" s="8">
        <f t="shared" si="24"/>
        <v>1908</v>
      </c>
      <c r="S33" s="8">
        <f t="shared" si="24"/>
        <v>318</v>
      </c>
      <c r="T33" s="8">
        <f t="shared" si="24"/>
        <v>238.5</v>
      </c>
      <c r="U33" s="8">
        <f t="shared" si="24"/>
        <v>0</v>
      </c>
      <c r="V33" s="8">
        <f t="shared" si="3"/>
        <v>0.7480300650197145</v>
      </c>
      <c r="W33" s="4"/>
    </row>
    <row r="34" spans="1:23" ht="18" customHeight="1">
      <c r="A34" s="6" t="s">
        <v>308</v>
      </c>
      <c r="B34" s="17" t="s">
        <v>298</v>
      </c>
      <c r="C34" s="8">
        <f>SUM(C35:C40)</f>
        <v>0</v>
      </c>
      <c r="D34" s="8">
        <f>SUM(D35:D40)</f>
        <v>0</v>
      </c>
      <c r="E34" s="8"/>
      <c r="F34" s="8">
        <f t="shared" si="1"/>
        <v>0</v>
      </c>
      <c r="G34" s="8"/>
      <c r="H34" s="8">
        <f>SUM(H35:H40)</f>
        <v>0</v>
      </c>
      <c r="I34" s="8">
        <f aca="true" t="shared" si="25" ref="I34:U34">SUM(I35:I40)</f>
        <v>0</v>
      </c>
      <c r="J34" s="8">
        <f t="shared" si="25"/>
        <v>0</v>
      </c>
      <c r="K34" s="8">
        <f t="shared" si="25"/>
        <v>0</v>
      </c>
      <c r="L34" s="8">
        <f t="shared" si="25"/>
        <v>0</v>
      </c>
      <c r="M34" s="8">
        <f t="shared" si="25"/>
        <v>0</v>
      </c>
      <c r="N34" s="8">
        <f t="shared" si="25"/>
        <v>0</v>
      </c>
      <c r="O34" s="8">
        <f t="shared" si="25"/>
        <v>0</v>
      </c>
      <c r="P34" s="8">
        <f t="shared" si="25"/>
        <v>0</v>
      </c>
      <c r="Q34" s="8">
        <f t="shared" si="25"/>
        <v>0</v>
      </c>
      <c r="R34" s="8">
        <f t="shared" si="25"/>
        <v>0</v>
      </c>
      <c r="S34" s="8">
        <f t="shared" si="25"/>
        <v>0</v>
      </c>
      <c r="T34" s="8">
        <f t="shared" si="25"/>
        <v>0</v>
      </c>
      <c r="U34" s="8">
        <f t="shared" si="25"/>
        <v>0</v>
      </c>
      <c r="V34" s="8" t="e">
        <f t="shared" si="3"/>
        <v>#DIV/0!</v>
      </c>
      <c r="W34" s="4"/>
    </row>
    <row r="35" spans="1:23" ht="18" customHeight="1">
      <c r="A35" s="6" t="s">
        <v>308</v>
      </c>
      <c r="B35" s="17" t="s">
        <v>299</v>
      </c>
      <c r="C35" s="60"/>
      <c r="D35" s="60"/>
      <c r="E35" s="9"/>
      <c r="F35" s="8">
        <f t="shared" si="1"/>
        <v>0</v>
      </c>
      <c r="G35" s="9"/>
      <c r="H35" s="8">
        <f>I35+P35+Q35+R35+S35+T35+U35</f>
        <v>0</v>
      </c>
      <c r="I35" s="8">
        <f>SUM(J35:N35)</f>
        <v>0</v>
      </c>
      <c r="J35" s="10"/>
      <c r="K35" s="10"/>
      <c r="L35" s="10"/>
      <c r="M35" s="10"/>
      <c r="N35" s="10"/>
      <c r="O35" s="10"/>
      <c r="P35" s="10"/>
      <c r="Q35" s="173"/>
      <c r="R35" s="23">
        <f aca="true" t="shared" si="26" ref="R35:R40">CEILING((J35+K35+L35)*12%,1)</f>
        <v>0</v>
      </c>
      <c r="S35" s="23">
        <f>I35*2%</f>
        <v>0</v>
      </c>
      <c r="T35" s="23">
        <f>I35*1.5%</f>
        <v>0</v>
      </c>
      <c r="U35" s="10"/>
      <c r="V35" s="8" t="e">
        <f t="shared" si="3"/>
        <v>#DIV/0!</v>
      </c>
      <c r="W35" s="4"/>
    </row>
    <row r="36" spans="1:23" ht="18" customHeight="1">
      <c r="A36" s="6"/>
      <c r="B36" s="17" t="s">
        <v>300</v>
      </c>
      <c r="C36" s="60"/>
      <c r="D36" s="60"/>
      <c r="E36" s="9"/>
      <c r="F36" s="8">
        <f t="shared" si="1"/>
        <v>0</v>
      </c>
      <c r="G36" s="9"/>
      <c r="H36" s="8">
        <f aca="true" t="shared" si="27" ref="H36:H41">I36+P36+Q36+R36+S36+T36+U36</f>
        <v>0</v>
      </c>
      <c r="I36" s="8">
        <f aca="true" t="shared" si="28" ref="I36:I41">SUM(J36:N36)</f>
        <v>0</v>
      </c>
      <c r="J36" s="10"/>
      <c r="K36" s="10"/>
      <c r="L36" s="10"/>
      <c r="M36" s="10"/>
      <c r="N36" s="10"/>
      <c r="O36" s="10"/>
      <c r="P36" s="10"/>
      <c r="Q36" s="173"/>
      <c r="R36" s="23">
        <f t="shared" si="26"/>
        <v>0</v>
      </c>
      <c r="S36" s="23">
        <f aca="true" t="shared" si="29" ref="S36:S41">I36*2%</f>
        <v>0</v>
      </c>
      <c r="T36" s="23">
        <f aca="true" t="shared" si="30" ref="T36:T41">I36*1.5%</f>
        <v>0</v>
      </c>
      <c r="U36" s="10"/>
      <c r="V36" s="8" t="e">
        <f t="shared" si="3"/>
        <v>#DIV/0!</v>
      </c>
      <c r="W36" s="4"/>
    </row>
    <row r="37" spans="1:23" ht="18" customHeight="1">
      <c r="A37" s="6" t="s">
        <v>308</v>
      </c>
      <c r="B37" s="17" t="s">
        <v>301</v>
      </c>
      <c r="C37" s="60"/>
      <c r="D37" s="60"/>
      <c r="E37" s="9"/>
      <c r="F37" s="8">
        <f t="shared" si="1"/>
        <v>0</v>
      </c>
      <c r="G37" s="9"/>
      <c r="H37" s="8">
        <f t="shared" si="27"/>
        <v>0</v>
      </c>
      <c r="I37" s="8">
        <f t="shared" si="28"/>
        <v>0</v>
      </c>
      <c r="J37" s="10"/>
      <c r="K37" s="10"/>
      <c r="L37" s="10"/>
      <c r="M37" s="10"/>
      <c r="N37" s="10"/>
      <c r="O37" s="10"/>
      <c r="P37" s="10"/>
      <c r="Q37" s="173"/>
      <c r="R37" s="23">
        <f t="shared" si="26"/>
        <v>0</v>
      </c>
      <c r="S37" s="23">
        <f t="shared" si="29"/>
        <v>0</v>
      </c>
      <c r="T37" s="23">
        <f t="shared" si="30"/>
        <v>0</v>
      </c>
      <c r="U37" s="10"/>
      <c r="V37" s="8" t="e">
        <f t="shared" si="3"/>
        <v>#DIV/0!</v>
      </c>
      <c r="W37" s="4"/>
    </row>
    <row r="38" spans="1:23" ht="18" customHeight="1">
      <c r="A38" s="6" t="s">
        <v>308</v>
      </c>
      <c r="B38" s="17" t="s">
        <v>302</v>
      </c>
      <c r="C38" s="60"/>
      <c r="D38" s="60"/>
      <c r="E38" s="8"/>
      <c r="F38" s="8">
        <f t="shared" si="1"/>
        <v>0</v>
      </c>
      <c r="G38" s="8"/>
      <c r="H38" s="8">
        <f t="shared" si="27"/>
        <v>0</v>
      </c>
      <c r="I38" s="8">
        <f t="shared" si="28"/>
        <v>0</v>
      </c>
      <c r="J38" s="15"/>
      <c r="K38" s="10"/>
      <c r="L38" s="10"/>
      <c r="M38" s="10"/>
      <c r="N38" s="10"/>
      <c r="O38" s="10"/>
      <c r="P38" s="15"/>
      <c r="Q38" s="173"/>
      <c r="R38" s="23">
        <f t="shared" si="26"/>
        <v>0</v>
      </c>
      <c r="S38" s="23">
        <f t="shared" si="29"/>
        <v>0</v>
      </c>
      <c r="T38" s="23">
        <f t="shared" si="30"/>
        <v>0</v>
      </c>
      <c r="U38" s="10"/>
      <c r="V38" s="8" t="e">
        <f t="shared" si="3"/>
        <v>#DIV/0!</v>
      </c>
      <c r="W38" s="4"/>
    </row>
    <row r="39" spans="1:23" ht="18" customHeight="1">
      <c r="A39" s="6" t="s">
        <v>308</v>
      </c>
      <c r="B39" s="17" t="s">
        <v>303</v>
      </c>
      <c r="C39" s="60"/>
      <c r="D39" s="60"/>
      <c r="E39" s="9"/>
      <c r="F39" s="8">
        <f t="shared" si="1"/>
        <v>0</v>
      </c>
      <c r="G39" s="9"/>
      <c r="H39" s="8">
        <f t="shared" si="27"/>
        <v>0</v>
      </c>
      <c r="I39" s="8">
        <f t="shared" si="28"/>
        <v>0</v>
      </c>
      <c r="J39" s="10"/>
      <c r="K39" s="10"/>
      <c r="L39" s="10"/>
      <c r="M39" s="10"/>
      <c r="N39" s="10"/>
      <c r="O39" s="10"/>
      <c r="P39" s="10"/>
      <c r="Q39" s="173"/>
      <c r="R39" s="23">
        <f t="shared" si="26"/>
        <v>0</v>
      </c>
      <c r="S39" s="23">
        <f t="shared" si="29"/>
        <v>0</v>
      </c>
      <c r="T39" s="23">
        <f t="shared" si="30"/>
        <v>0</v>
      </c>
      <c r="U39" s="10"/>
      <c r="V39" s="8" t="e">
        <f t="shared" si="3"/>
        <v>#DIV/0!</v>
      </c>
      <c r="W39" s="4"/>
    </row>
    <row r="40" spans="1:23" ht="18" customHeight="1">
      <c r="A40" s="6" t="s">
        <v>308</v>
      </c>
      <c r="B40" s="17" t="s">
        <v>304</v>
      </c>
      <c r="C40" s="60"/>
      <c r="D40" s="60"/>
      <c r="E40" s="9"/>
      <c r="F40" s="8">
        <f t="shared" si="1"/>
        <v>0</v>
      </c>
      <c r="G40" s="9"/>
      <c r="H40" s="8">
        <f t="shared" si="27"/>
        <v>0</v>
      </c>
      <c r="I40" s="8">
        <f t="shared" si="28"/>
        <v>0</v>
      </c>
      <c r="J40" s="10"/>
      <c r="K40" s="10"/>
      <c r="L40" s="10"/>
      <c r="M40" s="10"/>
      <c r="N40" s="10"/>
      <c r="O40" s="10"/>
      <c r="P40" s="10"/>
      <c r="Q40" s="173"/>
      <c r="R40" s="23">
        <f t="shared" si="26"/>
        <v>0</v>
      </c>
      <c r="S40" s="23">
        <f t="shared" si="29"/>
        <v>0</v>
      </c>
      <c r="T40" s="23">
        <f t="shared" si="30"/>
        <v>0</v>
      </c>
      <c r="U40" s="10"/>
      <c r="V40" s="8" t="e">
        <f t="shared" si="3"/>
        <v>#DIV/0!</v>
      </c>
      <c r="W40" s="4"/>
    </row>
    <row r="41" spans="1:23" ht="18" customHeight="1">
      <c r="A41" s="6" t="s">
        <v>308</v>
      </c>
      <c r="B41" s="17" t="s">
        <v>305</v>
      </c>
      <c r="C41" s="62">
        <v>29932.46</v>
      </c>
      <c r="D41" s="60"/>
      <c r="E41" s="9"/>
      <c r="F41" s="8">
        <f t="shared" si="1"/>
        <v>29932.46</v>
      </c>
      <c r="G41" s="9"/>
      <c r="H41" s="8">
        <f t="shared" si="27"/>
        <v>22390.38</v>
      </c>
      <c r="I41" s="8">
        <f t="shared" si="28"/>
        <v>15900</v>
      </c>
      <c r="J41" s="15">
        <f>J32</f>
        <v>15900</v>
      </c>
      <c r="K41" s="10"/>
      <c r="L41" s="10"/>
      <c r="M41" s="10"/>
      <c r="N41" s="10"/>
      <c r="O41" s="10"/>
      <c r="P41" s="10"/>
      <c r="Q41" s="8">
        <f>Q32</f>
        <v>4025.88</v>
      </c>
      <c r="R41" s="23">
        <f>R32</f>
        <v>1908</v>
      </c>
      <c r="S41" s="23">
        <f t="shared" si="29"/>
        <v>318</v>
      </c>
      <c r="T41" s="23">
        <f t="shared" si="30"/>
        <v>238.5</v>
      </c>
      <c r="U41" s="10"/>
      <c r="V41" s="8">
        <f t="shared" si="3"/>
        <v>0.7480300650197145</v>
      </c>
      <c r="W41" s="4"/>
    </row>
    <row r="42" spans="1:23" ht="18" customHeight="1">
      <c r="A42" s="6" t="s">
        <v>309</v>
      </c>
      <c r="B42" s="17" t="s">
        <v>297</v>
      </c>
      <c r="C42" s="8">
        <f>C43+C50</f>
        <v>0</v>
      </c>
      <c r="D42" s="8">
        <f>D43+D50</f>
        <v>21050.16</v>
      </c>
      <c r="E42" s="8"/>
      <c r="F42" s="8">
        <f t="shared" si="1"/>
        <v>21050.16</v>
      </c>
      <c r="G42" s="8"/>
      <c r="H42" s="8">
        <f>H43+H50</f>
        <v>22390.38</v>
      </c>
      <c r="I42" s="8">
        <f aca="true" t="shared" si="31" ref="I42:U42">I43+I50</f>
        <v>15900</v>
      </c>
      <c r="J42" s="8">
        <f t="shared" si="31"/>
        <v>15900</v>
      </c>
      <c r="K42" s="8">
        <f t="shared" si="31"/>
        <v>0</v>
      </c>
      <c r="L42" s="8">
        <f t="shared" si="31"/>
        <v>0</v>
      </c>
      <c r="M42" s="8">
        <f t="shared" si="31"/>
        <v>0</v>
      </c>
      <c r="N42" s="8">
        <f t="shared" si="31"/>
        <v>0</v>
      </c>
      <c r="O42" s="8">
        <f t="shared" si="31"/>
        <v>0</v>
      </c>
      <c r="P42" s="8">
        <f t="shared" si="31"/>
        <v>0</v>
      </c>
      <c r="Q42" s="8">
        <f t="shared" si="31"/>
        <v>4025.88</v>
      </c>
      <c r="R42" s="8">
        <f t="shared" si="31"/>
        <v>1908</v>
      </c>
      <c r="S42" s="8">
        <f t="shared" si="31"/>
        <v>318</v>
      </c>
      <c r="T42" s="8">
        <f t="shared" si="31"/>
        <v>238.5</v>
      </c>
      <c r="U42" s="8">
        <f t="shared" si="31"/>
        <v>0</v>
      </c>
      <c r="V42" s="8">
        <f t="shared" si="3"/>
        <v>1.06366792461435</v>
      </c>
      <c r="W42" s="4"/>
    </row>
    <row r="43" spans="1:23" ht="18" customHeight="1">
      <c r="A43" s="6" t="s">
        <v>309</v>
      </c>
      <c r="B43" s="17" t="s">
        <v>298</v>
      </c>
      <c r="C43" s="8">
        <f>SUM(C44:C49)</f>
        <v>0</v>
      </c>
      <c r="D43" s="8">
        <f>SUM(D44:D49)</f>
        <v>0</v>
      </c>
      <c r="E43" s="8"/>
      <c r="F43" s="8">
        <f t="shared" si="1"/>
        <v>0</v>
      </c>
      <c r="G43" s="8"/>
      <c r="H43" s="8">
        <f>SUM(H44:H49)</f>
        <v>0</v>
      </c>
      <c r="I43" s="8">
        <f aca="true" t="shared" si="32" ref="I43:U43">SUM(I44:I49)</f>
        <v>0</v>
      </c>
      <c r="J43" s="8">
        <f t="shared" si="32"/>
        <v>0</v>
      </c>
      <c r="K43" s="8">
        <f t="shared" si="32"/>
        <v>0</v>
      </c>
      <c r="L43" s="8">
        <f t="shared" si="32"/>
        <v>0</v>
      </c>
      <c r="M43" s="8">
        <f t="shared" si="32"/>
        <v>0</v>
      </c>
      <c r="N43" s="8">
        <f t="shared" si="32"/>
        <v>0</v>
      </c>
      <c r="O43" s="8">
        <f t="shared" si="32"/>
        <v>0</v>
      </c>
      <c r="P43" s="8">
        <f t="shared" si="32"/>
        <v>0</v>
      </c>
      <c r="Q43" s="8">
        <f t="shared" si="32"/>
        <v>0</v>
      </c>
      <c r="R43" s="8">
        <f t="shared" si="32"/>
        <v>0</v>
      </c>
      <c r="S43" s="8">
        <f t="shared" si="32"/>
        <v>0</v>
      </c>
      <c r="T43" s="8">
        <f t="shared" si="32"/>
        <v>0</v>
      </c>
      <c r="U43" s="8">
        <f t="shared" si="32"/>
        <v>0</v>
      </c>
      <c r="V43" s="8" t="e">
        <f t="shared" si="3"/>
        <v>#DIV/0!</v>
      </c>
      <c r="W43" s="4"/>
    </row>
    <row r="44" spans="1:23" ht="18" customHeight="1">
      <c r="A44" s="6" t="s">
        <v>309</v>
      </c>
      <c r="B44" s="17" t="s">
        <v>299</v>
      </c>
      <c r="C44" s="60"/>
      <c r="D44" s="60"/>
      <c r="E44" s="9"/>
      <c r="F44" s="8">
        <f t="shared" si="1"/>
        <v>0</v>
      </c>
      <c r="G44" s="9"/>
      <c r="H44" s="8">
        <f>I44+P44+Q44+R44+S44+T44+U44</f>
        <v>0</v>
      </c>
      <c r="I44" s="8">
        <f aca="true" t="shared" si="33" ref="I44:I50">SUM(J44:N44)</f>
        <v>0</v>
      </c>
      <c r="J44" s="10"/>
      <c r="K44" s="10"/>
      <c r="L44" s="10"/>
      <c r="M44" s="10"/>
      <c r="N44" s="10"/>
      <c r="O44" s="10"/>
      <c r="P44" s="10"/>
      <c r="Q44" s="173"/>
      <c r="R44" s="23">
        <f aca="true" t="shared" si="34" ref="R44:R49">CEILING((J44+K44+L44)*12%,1)</f>
        <v>0</v>
      </c>
      <c r="S44" s="23">
        <f>I44*2%</f>
        <v>0</v>
      </c>
      <c r="T44" s="23">
        <f>I44*1.5%</f>
        <v>0</v>
      </c>
      <c r="U44" s="10"/>
      <c r="V44" s="8" t="e">
        <f t="shared" si="3"/>
        <v>#DIV/0!</v>
      </c>
      <c r="W44" s="4"/>
    </row>
    <row r="45" spans="1:23" ht="18" customHeight="1">
      <c r="A45" s="6"/>
      <c r="B45" s="17" t="s">
        <v>300</v>
      </c>
      <c r="C45" s="60"/>
      <c r="D45" s="60"/>
      <c r="E45" s="9"/>
      <c r="F45" s="8">
        <f t="shared" si="1"/>
        <v>0</v>
      </c>
      <c r="G45" s="9"/>
      <c r="H45" s="8">
        <f aca="true" t="shared" si="35" ref="H45:H50">I45+P45+Q45+R45+S45+T45+U45</f>
        <v>0</v>
      </c>
      <c r="I45" s="8">
        <f t="shared" si="33"/>
        <v>0</v>
      </c>
      <c r="J45" s="10"/>
      <c r="K45" s="10"/>
      <c r="L45" s="10"/>
      <c r="M45" s="10"/>
      <c r="N45" s="10"/>
      <c r="O45" s="10"/>
      <c r="P45" s="10"/>
      <c r="Q45" s="173"/>
      <c r="R45" s="23">
        <f t="shared" si="34"/>
        <v>0</v>
      </c>
      <c r="S45" s="23">
        <f aca="true" t="shared" si="36" ref="S45:S50">I45*2%</f>
        <v>0</v>
      </c>
      <c r="T45" s="23">
        <f aca="true" t="shared" si="37" ref="T45:T50">I45*1.5%</f>
        <v>0</v>
      </c>
      <c r="U45" s="10"/>
      <c r="V45" s="8" t="e">
        <f t="shared" si="3"/>
        <v>#DIV/0!</v>
      </c>
      <c r="W45" s="4"/>
    </row>
    <row r="46" spans="1:23" ht="18" customHeight="1">
      <c r="A46" s="6" t="s">
        <v>309</v>
      </c>
      <c r="B46" s="17" t="s">
        <v>301</v>
      </c>
      <c r="C46" s="60"/>
      <c r="D46" s="60"/>
      <c r="E46" s="9"/>
      <c r="F46" s="8">
        <f t="shared" si="1"/>
        <v>0</v>
      </c>
      <c r="G46" s="9"/>
      <c r="H46" s="8">
        <f t="shared" si="35"/>
        <v>0</v>
      </c>
      <c r="I46" s="8">
        <f t="shared" si="33"/>
        <v>0</v>
      </c>
      <c r="J46" s="10"/>
      <c r="K46" s="10"/>
      <c r="L46" s="10"/>
      <c r="M46" s="10"/>
      <c r="N46" s="10"/>
      <c r="O46" s="10"/>
      <c r="P46" s="10"/>
      <c r="Q46" s="173"/>
      <c r="R46" s="23">
        <f t="shared" si="34"/>
        <v>0</v>
      </c>
      <c r="S46" s="23">
        <f t="shared" si="36"/>
        <v>0</v>
      </c>
      <c r="T46" s="23">
        <f t="shared" si="37"/>
        <v>0</v>
      </c>
      <c r="U46" s="10"/>
      <c r="V46" s="8" t="e">
        <f t="shared" si="3"/>
        <v>#DIV/0!</v>
      </c>
      <c r="W46" s="4"/>
    </row>
    <row r="47" spans="1:23" ht="18" customHeight="1">
      <c r="A47" s="6" t="s">
        <v>309</v>
      </c>
      <c r="B47" s="17" t="s">
        <v>302</v>
      </c>
      <c r="C47" s="60"/>
      <c r="D47" s="60"/>
      <c r="E47" s="8"/>
      <c r="F47" s="8">
        <f t="shared" si="1"/>
        <v>0</v>
      </c>
      <c r="G47" s="8"/>
      <c r="H47" s="8">
        <f t="shared" si="35"/>
        <v>0</v>
      </c>
      <c r="I47" s="8">
        <f t="shared" si="33"/>
        <v>0</v>
      </c>
      <c r="J47" s="15"/>
      <c r="K47" s="10"/>
      <c r="L47" s="10"/>
      <c r="M47" s="10"/>
      <c r="N47" s="10"/>
      <c r="O47" s="10"/>
      <c r="P47" s="15"/>
      <c r="Q47" s="173"/>
      <c r="R47" s="23">
        <f t="shared" si="34"/>
        <v>0</v>
      </c>
      <c r="S47" s="23">
        <f t="shared" si="36"/>
        <v>0</v>
      </c>
      <c r="T47" s="23">
        <f t="shared" si="37"/>
        <v>0</v>
      </c>
      <c r="U47" s="10"/>
      <c r="V47" s="8" t="e">
        <f t="shared" si="3"/>
        <v>#DIV/0!</v>
      </c>
      <c r="W47" s="4"/>
    </row>
    <row r="48" spans="1:23" ht="18" customHeight="1">
      <c r="A48" s="6" t="s">
        <v>309</v>
      </c>
      <c r="B48" s="17" t="s">
        <v>303</v>
      </c>
      <c r="C48" s="60"/>
      <c r="D48" s="60"/>
      <c r="E48" s="9"/>
      <c r="F48" s="8">
        <f t="shared" si="1"/>
        <v>0</v>
      </c>
      <c r="G48" s="9"/>
      <c r="H48" s="8">
        <f t="shared" si="35"/>
        <v>0</v>
      </c>
      <c r="I48" s="8">
        <f t="shared" si="33"/>
        <v>0</v>
      </c>
      <c r="J48" s="10"/>
      <c r="K48" s="10"/>
      <c r="L48" s="10"/>
      <c r="M48" s="10"/>
      <c r="N48" s="10"/>
      <c r="O48" s="10"/>
      <c r="P48" s="10"/>
      <c r="Q48" s="173"/>
      <c r="R48" s="23">
        <f t="shared" si="34"/>
        <v>0</v>
      </c>
      <c r="S48" s="23">
        <f t="shared" si="36"/>
        <v>0</v>
      </c>
      <c r="T48" s="23">
        <f t="shared" si="37"/>
        <v>0</v>
      </c>
      <c r="U48" s="10"/>
      <c r="V48" s="8" t="e">
        <f t="shared" si="3"/>
        <v>#DIV/0!</v>
      </c>
      <c r="W48" s="4"/>
    </row>
    <row r="49" spans="1:23" ht="18" customHeight="1">
      <c r="A49" s="6" t="s">
        <v>309</v>
      </c>
      <c r="B49" s="17" t="s">
        <v>304</v>
      </c>
      <c r="C49" s="60"/>
      <c r="D49" s="60"/>
      <c r="E49" s="9"/>
      <c r="F49" s="8">
        <f t="shared" si="1"/>
        <v>0</v>
      </c>
      <c r="G49" s="9"/>
      <c r="H49" s="8">
        <f t="shared" si="35"/>
        <v>0</v>
      </c>
      <c r="I49" s="8">
        <f t="shared" si="33"/>
        <v>0</v>
      </c>
      <c r="J49" s="10"/>
      <c r="K49" s="10"/>
      <c r="L49" s="10"/>
      <c r="M49" s="10"/>
      <c r="N49" s="10"/>
      <c r="O49" s="10"/>
      <c r="P49" s="10"/>
      <c r="Q49" s="173"/>
      <c r="R49" s="23">
        <f t="shared" si="34"/>
        <v>0</v>
      </c>
      <c r="S49" s="23">
        <f t="shared" si="36"/>
        <v>0</v>
      </c>
      <c r="T49" s="23">
        <f t="shared" si="37"/>
        <v>0</v>
      </c>
      <c r="U49" s="10"/>
      <c r="V49" s="8" t="e">
        <f t="shared" si="3"/>
        <v>#DIV/0!</v>
      </c>
      <c r="W49" s="4"/>
    </row>
    <row r="50" spans="1:23" ht="18" customHeight="1">
      <c r="A50" s="6" t="s">
        <v>309</v>
      </c>
      <c r="B50" s="17" t="s">
        <v>305</v>
      </c>
      <c r="C50" s="62"/>
      <c r="D50" s="62">
        <v>21050.16</v>
      </c>
      <c r="E50" s="9"/>
      <c r="F50" s="8">
        <f t="shared" si="1"/>
        <v>21050.16</v>
      </c>
      <c r="G50" s="9"/>
      <c r="H50" s="8">
        <f t="shared" si="35"/>
        <v>22390.38</v>
      </c>
      <c r="I50" s="8">
        <f t="shared" si="33"/>
        <v>15900</v>
      </c>
      <c r="J50" s="15">
        <f>J41</f>
        <v>15900</v>
      </c>
      <c r="K50" s="10"/>
      <c r="L50" s="10"/>
      <c r="M50" s="10"/>
      <c r="N50" s="10"/>
      <c r="O50" s="10"/>
      <c r="P50" s="10"/>
      <c r="Q50" s="8">
        <f>Q41</f>
        <v>4025.88</v>
      </c>
      <c r="R50" s="8">
        <f>R41</f>
        <v>1908</v>
      </c>
      <c r="S50" s="23">
        <f t="shared" si="36"/>
        <v>318</v>
      </c>
      <c r="T50" s="23">
        <f t="shared" si="37"/>
        <v>238.5</v>
      </c>
      <c r="U50" s="10"/>
      <c r="V50" s="8">
        <f t="shared" si="3"/>
        <v>1.06366792461435</v>
      </c>
      <c r="W50" s="4"/>
    </row>
    <row r="51" spans="1:23" ht="18" customHeight="1">
      <c r="A51" s="4"/>
      <c r="B51" s="4"/>
      <c r="C51" s="4"/>
      <c r="D51" s="4"/>
      <c r="E51" s="11"/>
      <c r="F51" s="12" t="s">
        <v>310</v>
      </c>
      <c r="G51" s="4"/>
      <c r="H51" s="4"/>
      <c r="I51" s="4"/>
      <c r="J51" s="4"/>
      <c r="K51" s="4"/>
      <c r="L51" s="4"/>
      <c r="M51" s="4"/>
      <c r="N51" s="4"/>
      <c r="O51" s="4"/>
      <c r="P51" s="4"/>
      <c r="Q51" s="3" t="s">
        <v>311</v>
      </c>
      <c r="R51" s="4"/>
      <c r="S51" s="4"/>
      <c r="T51" s="4"/>
      <c r="U51" s="4"/>
      <c r="V51" s="4"/>
      <c r="W51" s="4"/>
    </row>
  </sheetData>
  <sheetProtection/>
  <mergeCells count="25">
    <mergeCell ref="A1:W1"/>
    <mergeCell ref="C3:F3"/>
    <mergeCell ref="G3:U3"/>
    <mergeCell ref="I4:O4"/>
    <mergeCell ref="A3:A5"/>
    <mergeCell ref="A6:A14"/>
    <mergeCell ref="A15:A23"/>
    <mergeCell ref="A24:A32"/>
    <mergeCell ref="A33:A41"/>
    <mergeCell ref="A42:A50"/>
    <mergeCell ref="B3:B5"/>
    <mergeCell ref="C4:C5"/>
    <mergeCell ref="D4:D5"/>
    <mergeCell ref="E4:E5"/>
    <mergeCell ref="F4:F5"/>
    <mergeCell ref="G4:G5"/>
    <mergeCell ref="H4:H5"/>
    <mergeCell ref="P4:P5"/>
    <mergeCell ref="Q4:Q5"/>
    <mergeCell ref="R4:R5"/>
    <mergeCell ref="S4:S5"/>
    <mergeCell ref="T4:T5"/>
    <mergeCell ref="U4:U5"/>
    <mergeCell ref="V3:V5"/>
    <mergeCell ref="W3:W5"/>
  </mergeCells>
  <printOptions/>
  <pageMargins left="0.75" right="0.75" top="0.28" bottom="0.31" header="0.23999999999999996" footer="0.23999999999999996"/>
  <pageSetup fitToHeight="1" fitToWidth="1" horizontalDpi="300" verticalDpi="300" orientation="landscape" paperSize="9" scale="56"/>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L44"/>
  <sheetViews>
    <sheetView workbookViewId="0" topLeftCell="A9">
      <selection activeCell="F29" sqref="F29"/>
    </sheetView>
  </sheetViews>
  <sheetFormatPr defaultColWidth="9.140625" defaultRowHeight="12.75"/>
  <cols>
    <col min="1" max="1" width="26.7109375" style="0" customWidth="1"/>
    <col min="2" max="2" width="6.28125" style="0" customWidth="1"/>
    <col min="3" max="9" width="15.28125" style="0" customWidth="1"/>
    <col min="10" max="10" width="8.140625" style="0" customWidth="1"/>
  </cols>
  <sheetData>
    <row r="1" spans="1:10" ht="24.75" customHeight="1">
      <c r="A1" s="27" t="s">
        <v>766</v>
      </c>
      <c r="B1" s="27" t="s">
        <v>766</v>
      </c>
      <c r="C1" s="27" t="s">
        <v>766</v>
      </c>
      <c r="D1" s="27"/>
      <c r="E1" s="27"/>
      <c r="F1" s="27" t="s">
        <v>766</v>
      </c>
      <c r="G1" s="27" t="s">
        <v>766</v>
      </c>
      <c r="H1" s="27" t="s">
        <v>766</v>
      </c>
      <c r="I1" s="27" t="s">
        <v>766</v>
      </c>
      <c r="J1" s="27" t="s">
        <v>766</v>
      </c>
    </row>
    <row r="2" spans="1:10" ht="18" customHeight="1">
      <c r="A2" s="4" t="s">
        <v>272</v>
      </c>
      <c r="B2" s="3"/>
      <c r="C2" s="3"/>
      <c r="D2" s="3"/>
      <c r="E2" s="3"/>
      <c r="F2" s="3"/>
      <c r="G2" s="28">
        <v>2022</v>
      </c>
      <c r="H2" s="4" t="s">
        <v>767</v>
      </c>
      <c r="I2" s="4"/>
      <c r="J2" s="11" t="s">
        <v>1</v>
      </c>
    </row>
    <row r="3" spans="1:10" ht="21" customHeight="1">
      <c r="A3" s="13" t="s">
        <v>768</v>
      </c>
      <c r="B3" s="13" t="s">
        <v>769</v>
      </c>
      <c r="C3" s="6" t="s">
        <v>770</v>
      </c>
      <c r="D3" s="29" t="s">
        <v>771</v>
      </c>
      <c r="E3" s="6" t="s">
        <v>427</v>
      </c>
      <c r="F3" s="6" t="s">
        <v>772</v>
      </c>
      <c r="G3" s="6" t="s">
        <v>772</v>
      </c>
      <c r="H3" s="6" t="s">
        <v>772</v>
      </c>
      <c r="I3" s="6" t="s">
        <v>772</v>
      </c>
      <c r="J3" s="13" t="s">
        <v>36</v>
      </c>
    </row>
    <row r="4" spans="1:10" ht="21.75" customHeight="1">
      <c r="A4" s="13" t="s">
        <v>768</v>
      </c>
      <c r="B4" s="13" t="s">
        <v>769</v>
      </c>
      <c r="C4" s="6"/>
      <c r="D4" s="30"/>
      <c r="E4" s="6"/>
      <c r="F4" s="6" t="s">
        <v>306</v>
      </c>
      <c r="G4" s="6" t="s">
        <v>307</v>
      </c>
      <c r="H4" s="6" t="s">
        <v>308</v>
      </c>
      <c r="I4" s="6" t="s">
        <v>309</v>
      </c>
      <c r="J4" s="13" t="s">
        <v>36</v>
      </c>
    </row>
    <row r="5" spans="1:10" ht="18" customHeight="1">
      <c r="A5" s="4" t="s">
        <v>773</v>
      </c>
      <c r="B5" s="13" t="s">
        <v>473</v>
      </c>
      <c r="C5" s="13" t="s">
        <v>473</v>
      </c>
      <c r="D5" s="13" t="s">
        <v>473</v>
      </c>
      <c r="E5" s="13" t="s">
        <v>473</v>
      </c>
      <c r="F5" s="13" t="s">
        <v>473</v>
      </c>
      <c r="G5" s="13" t="s">
        <v>473</v>
      </c>
      <c r="H5" s="13" t="s">
        <v>473</v>
      </c>
      <c r="I5" s="13" t="s">
        <v>473</v>
      </c>
      <c r="J5" s="4"/>
    </row>
    <row r="6" spans="1:10" ht="18" customHeight="1">
      <c r="A6" s="17" t="s">
        <v>774</v>
      </c>
      <c r="B6" s="13" t="s">
        <v>474</v>
      </c>
      <c r="C6" s="8">
        <v>44835782.44</v>
      </c>
      <c r="D6" s="8">
        <v>45632829.20999999</v>
      </c>
      <c r="E6" s="8">
        <f>'23)资金预算表总表'!D46</f>
        <v>43877741.58</v>
      </c>
      <c r="F6" s="8">
        <f>'23)资金预算表总表'!F46</f>
        <v>43974067.23</v>
      </c>
      <c r="G6" s="8">
        <f>'23)资金预算表总表'!G46</f>
        <v>43361983.12</v>
      </c>
      <c r="H6" s="8">
        <f>'23)资金预算表总表'!H46</f>
        <v>43332628.769999996</v>
      </c>
      <c r="I6" s="8">
        <f>'23)资金预算表总表'!I46</f>
        <v>45228574.44</v>
      </c>
      <c r="J6" s="4"/>
    </row>
    <row r="7" spans="1:10" ht="18" customHeight="1">
      <c r="A7" s="17" t="s">
        <v>775</v>
      </c>
      <c r="B7" s="13" t="s">
        <v>475</v>
      </c>
      <c r="C7" s="8"/>
      <c r="D7" s="8"/>
      <c r="E7" s="8"/>
      <c r="F7" s="8"/>
      <c r="G7" s="8"/>
      <c r="H7" s="8"/>
      <c r="I7" s="8"/>
      <c r="J7" s="4"/>
    </row>
    <row r="8" spans="1:10" ht="18" customHeight="1">
      <c r="A8" s="17" t="s">
        <v>776</v>
      </c>
      <c r="B8" s="13" t="s">
        <v>476</v>
      </c>
      <c r="C8" s="15"/>
      <c r="D8" s="15"/>
      <c r="E8" s="15"/>
      <c r="F8" s="10"/>
      <c r="G8" s="10"/>
      <c r="H8" s="10"/>
      <c r="I8" s="10"/>
      <c r="J8" s="4"/>
    </row>
    <row r="9" spans="1:12" ht="18" customHeight="1">
      <c r="A9" s="17" t="s">
        <v>777</v>
      </c>
      <c r="B9" s="13" t="s">
        <v>477</v>
      </c>
      <c r="C9" s="15">
        <v>1394410.2185</v>
      </c>
      <c r="D9" s="15">
        <v>1285761.72</v>
      </c>
      <c r="E9" s="15">
        <v>1931609.99</v>
      </c>
      <c r="F9" s="15">
        <v>1901609.99</v>
      </c>
      <c r="G9" s="10">
        <v>1881609.99</v>
      </c>
      <c r="H9" s="10">
        <v>1851609.99</v>
      </c>
      <c r="I9" s="10">
        <v>1951609.99</v>
      </c>
      <c r="J9" s="4"/>
      <c r="L9">
        <v>523799.75</v>
      </c>
    </row>
    <row r="10" spans="1:12" ht="18" customHeight="1">
      <c r="A10" s="17" t="s">
        <v>778</v>
      </c>
      <c r="B10" s="13" t="s">
        <v>478</v>
      </c>
      <c r="C10" s="15">
        <v>1624420.95</v>
      </c>
      <c r="D10" s="15">
        <v>1805231.7</v>
      </c>
      <c r="E10" s="15">
        <v>1647716.7</v>
      </c>
      <c r="F10" s="15">
        <f>E10+131411.94</f>
        <v>1779128.64</v>
      </c>
      <c r="G10" s="10">
        <v>1779128.64</v>
      </c>
      <c r="H10" s="10">
        <f>G10+131411.94</f>
        <v>1910540.5799999998</v>
      </c>
      <c r="I10" s="10">
        <v>1910540.5799999998</v>
      </c>
      <c r="J10" s="4"/>
      <c r="L10">
        <v>1071420.478</v>
      </c>
    </row>
    <row r="11" spans="1:10" ht="18" customHeight="1">
      <c r="A11" s="17" t="s">
        <v>779</v>
      </c>
      <c r="B11" s="13" t="s">
        <v>479</v>
      </c>
      <c r="C11" s="15"/>
      <c r="D11" s="15">
        <v>154916.67</v>
      </c>
      <c r="E11" s="15"/>
      <c r="F11" s="10"/>
      <c r="G11" s="10"/>
      <c r="H11" s="10"/>
      <c r="I11" s="10"/>
      <c r="J11" s="4"/>
    </row>
    <row r="12" spans="1:10" ht="18" customHeight="1">
      <c r="A12" s="17" t="s">
        <v>780</v>
      </c>
      <c r="B12" s="13" t="s">
        <v>480</v>
      </c>
      <c r="C12" s="15"/>
      <c r="D12" s="15"/>
      <c r="E12" s="15"/>
      <c r="F12" s="10"/>
      <c r="G12" s="10"/>
      <c r="H12" s="10"/>
      <c r="I12" s="10"/>
      <c r="J12" s="4"/>
    </row>
    <row r="13" spans="1:10" ht="18" customHeight="1">
      <c r="A13" s="17" t="s">
        <v>781</v>
      </c>
      <c r="B13" s="13" t="s">
        <v>481</v>
      </c>
      <c r="C13" s="15">
        <v>378207.2905</v>
      </c>
      <c r="D13" s="15">
        <v>520343.96</v>
      </c>
      <c r="E13" s="15">
        <v>1395063.92</v>
      </c>
      <c r="F13" s="15">
        <v>1395063.92</v>
      </c>
      <c r="G13" s="15">
        <v>1395063.92</v>
      </c>
      <c r="H13" s="15">
        <v>1395063.92</v>
      </c>
      <c r="I13" s="15">
        <v>1395063.92</v>
      </c>
      <c r="J13" s="4"/>
    </row>
    <row r="14" spans="1:10" ht="18" customHeight="1">
      <c r="A14" s="17" t="s">
        <v>782</v>
      </c>
      <c r="B14" s="13" t="s">
        <v>482</v>
      </c>
      <c r="C14" s="15"/>
      <c r="D14" s="15"/>
      <c r="E14" s="15"/>
      <c r="F14" s="15"/>
      <c r="G14" s="15"/>
      <c r="H14" s="15"/>
      <c r="I14" s="15"/>
      <c r="J14" s="4"/>
    </row>
    <row r="15" spans="1:10" ht="18" customHeight="1">
      <c r="A15" s="17" t="s">
        <v>783</v>
      </c>
      <c r="B15" s="13" t="s">
        <v>483</v>
      </c>
      <c r="C15" s="15"/>
      <c r="D15" s="15"/>
      <c r="E15" s="15"/>
      <c r="F15" s="10"/>
      <c r="G15" s="10"/>
      <c r="H15" s="10"/>
      <c r="I15" s="10"/>
      <c r="J15" s="4"/>
    </row>
    <row r="16" spans="1:10" ht="18" customHeight="1">
      <c r="A16" s="17" t="s">
        <v>784</v>
      </c>
      <c r="B16" s="13" t="s">
        <v>484</v>
      </c>
      <c r="C16" s="8"/>
      <c r="D16" s="8"/>
      <c r="E16" s="8"/>
      <c r="F16" s="8"/>
      <c r="G16" s="8"/>
      <c r="H16" s="8"/>
      <c r="I16" s="8"/>
      <c r="J16" s="4"/>
    </row>
    <row r="17" spans="1:10" ht="18" customHeight="1">
      <c r="A17" s="17" t="s">
        <v>785</v>
      </c>
      <c r="B17" s="13" t="s">
        <v>485</v>
      </c>
      <c r="C17" s="8">
        <f aca="true" t="shared" si="0" ref="C17:I17">SUM(C6:C16)</f>
        <v>48232820.899000004</v>
      </c>
      <c r="D17" s="8">
        <f t="shared" si="0"/>
        <v>49399083.26</v>
      </c>
      <c r="E17" s="8">
        <f t="shared" si="0"/>
        <v>48852132.190000005</v>
      </c>
      <c r="F17" s="8">
        <f t="shared" si="0"/>
        <v>49049869.78</v>
      </c>
      <c r="G17" s="8">
        <f t="shared" si="0"/>
        <v>48417785.67</v>
      </c>
      <c r="H17" s="8">
        <f t="shared" si="0"/>
        <v>48489843.26</v>
      </c>
      <c r="I17" s="8">
        <f t="shared" si="0"/>
        <v>50485788.93</v>
      </c>
      <c r="J17" s="4"/>
    </row>
    <row r="18" spans="1:10" ht="18" customHeight="1">
      <c r="A18" s="17" t="s">
        <v>786</v>
      </c>
      <c r="B18" s="13" t="s">
        <v>473</v>
      </c>
      <c r="C18" s="13" t="s">
        <v>473</v>
      </c>
      <c r="D18" s="13" t="s">
        <v>473</v>
      </c>
      <c r="E18" s="13" t="s">
        <v>473</v>
      </c>
      <c r="F18" s="13" t="s">
        <v>473</v>
      </c>
      <c r="G18" s="13" t="s">
        <v>473</v>
      </c>
      <c r="H18" s="13" t="s">
        <v>473</v>
      </c>
      <c r="I18" s="13" t="s">
        <v>473</v>
      </c>
      <c r="J18" s="4"/>
    </row>
    <row r="19" spans="1:10" ht="18" customHeight="1">
      <c r="A19" s="17" t="s">
        <v>787</v>
      </c>
      <c r="B19" s="13" t="s">
        <v>486</v>
      </c>
      <c r="C19" s="8"/>
      <c r="D19" s="8"/>
      <c r="E19" s="8"/>
      <c r="F19" s="10"/>
      <c r="G19" s="10"/>
      <c r="H19" s="10"/>
      <c r="I19" s="10"/>
      <c r="J19" s="4"/>
    </row>
    <row r="20" spans="1:10" ht="18" customHeight="1">
      <c r="A20" s="17" t="s">
        <v>788</v>
      </c>
      <c r="B20" s="13" t="s">
        <v>487</v>
      </c>
      <c r="C20" s="8"/>
      <c r="D20" s="8"/>
      <c r="E20" s="8"/>
      <c r="F20" s="10"/>
      <c r="G20" s="10"/>
      <c r="H20" s="10"/>
      <c r="I20" s="10"/>
      <c r="J20" s="4"/>
    </row>
    <row r="21" spans="1:10" ht="18" customHeight="1">
      <c r="A21" s="17" t="s">
        <v>789</v>
      </c>
      <c r="B21" s="13" t="s">
        <v>551</v>
      </c>
      <c r="C21" s="8"/>
      <c r="D21" s="8"/>
      <c r="E21" s="8"/>
      <c r="F21" s="10"/>
      <c r="G21" s="10"/>
      <c r="H21" s="10"/>
      <c r="I21" s="10"/>
      <c r="J21" s="4"/>
    </row>
    <row r="22" spans="1:10" ht="18" customHeight="1">
      <c r="A22" s="17" t="s">
        <v>790</v>
      </c>
      <c r="B22" s="13" t="s">
        <v>791</v>
      </c>
      <c r="C22" s="15"/>
      <c r="D22" s="15"/>
      <c r="E22" s="15"/>
      <c r="F22" s="10"/>
      <c r="G22" s="10"/>
      <c r="H22" s="10"/>
      <c r="I22" s="10"/>
      <c r="J22" s="4"/>
    </row>
    <row r="23" spans="1:10" ht="18" customHeight="1">
      <c r="A23" s="17" t="s">
        <v>792</v>
      </c>
      <c r="B23" s="13" t="s">
        <v>793</v>
      </c>
      <c r="C23" s="8"/>
      <c r="D23" s="8"/>
      <c r="E23" s="8"/>
      <c r="F23" s="10"/>
      <c r="G23" s="10"/>
      <c r="H23" s="10"/>
      <c r="I23" s="10"/>
      <c r="J23" s="4"/>
    </row>
    <row r="24" spans="1:10" ht="18" customHeight="1">
      <c r="A24" s="17" t="s">
        <v>794</v>
      </c>
      <c r="B24" s="13" t="s">
        <v>795</v>
      </c>
      <c r="C24" s="8">
        <v>9938786.47</v>
      </c>
      <c r="D24" s="8">
        <v>9302319.45</v>
      </c>
      <c r="E24" s="8">
        <v>9302319.45</v>
      </c>
      <c r="F24" s="15">
        <f>E24+'5)固定资产及无形资产预算表'!F6</f>
        <v>9302319.45</v>
      </c>
      <c r="G24" s="15">
        <f>F24+'5)固定资产及无形资产预算表'!G6</f>
        <v>9302319.45</v>
      </c>
      <c r="H24" s="15">
        <f>G24+'5)固定资产及无形资产预算表'!H6</f>
        <v>9302319.45</v>
      </c>
      <c r="I24" s="15">
        <f>H24+'5)固定资产及无形资产预算表'!I6</f>
        <v>9302319.45</v>
      </c>
      <c r="J24" s="4"/>
    </row>
    <row r="25" spans="1:10" ht="18" customHeight="1">
      <c r="A25" s="17" t="s">
        <v>796</v>
      </c>
      <c r="B25" s="13" t="s">
        <v>797</v>
      </c>
      <c r="C25" s="8">
        <v>7855483.67</v>
      </c>
      <c r="D25" s="8">
        <v>7479113.04</v>
      </c>
      <c r="E25" s="8">
        <f>D25+'17)管理费用预算表'!C69</f>
        <v>7576592.5200000005</v>
      </c>
      <c r="F25" s="15">
        <f>E25+'17)管理费用预算表'!F69</f>
        <v>7677917.61</v>
      </c>
      <c r="G25" s="15">
        <f>F25+'17)管理费用预算表'!G69</f>
        <v>7779242.7</v>
      </c>
      <c r="H25" s="15">
        <f>G25+'17)管理费用预算表'!H69</f>
        <v>7880567.79</v>
      </c>
      <c r="I25" s="15">
        <f>H25+'17)管理费用预算表'!I69</f>
        <v>7981892.88</v>
      </c>
      <c r="J25" s="4"/>
    </row>
    <row r="26" spans="1:10" ht="18" customHeight="1">
      <c r="A26" s="17" t="s">
        <v>798</v>
      </c>
      <c r="B26" s="13" t="s">
        <v>799</v>
      </c>
      <c r="C26" s="8">
        <f aca="true" t="shared" si="1" ref="C26:I26">C24-C25</f>
        <v>2083302.8000000007</v>
      </c>
      <c r="D26" s="8">
        <f t="shared" si="1"/>
        <v>1823206.4099999992</v>
      </c>
      <c r="E26" s="8">
        <f t="shared" si="1"/>
        <v>1725726.9299999988</v>
      </c>
      <c r="F26" s="8">
        <f t="shared" si="1"/>
        <v>1624401.839999999</v>
      </c>
      <c r="G26" s="8">
        <f t="shared" si="1"/>
        <v>1523076.749999999</v>
      </c>
      <c r="H26" s="8">
        <f t="shared" si="1"/>
        <v>1421751.6599999992</v>
      </c>
      <c r="I26" s="8">
        <f t="shared" si="1"/>
        <v>1320426.5699999994</v>
      </c>
      <c r="J26" s="4"/>
    </row>
    <row r="27" spans="1:10" ht="18" customHeight="1">
      <c r="A27" s="17" t="s">
        <v>800</v>
      </c>
      <c r="B27" s="13" t="s">
        <v>801</v>
      </c>
      <c r="C27" s="15"/>
      <c r="D27" s="15"/>
      <c r="E27" s="15"/>
      <c r="F27" s="15"/>
      <c r="G27" s="15"/>
      <c r="H27" s="15"/>
      <c r="I27" s="15"/>
      <c r="J27" s="4"/>
    </row>
    <row r="28" spans="1:10" ht="18" customHeight="1">
      <c r="A28" s="17" t="s">
        <v>802</v>
      </c>
      <c r="B28" s="13" t="s">
        <v>803</v>
      </c>
      <c r="C28" s="8">
        <f aca="true" t="shared" si="2" ref="C28:I28">C26</f>
        <v>2083302.8000000007</v>
      </c>
      <c r="D28" s="8">
        <f t="shared" si="2"/>
        <v>1823206.4099999992</v>
      </c>
      <c r="E28" s="8">
        <f t="shared" si="2"/>
        <v>1725726.9299999988</v>
      </c>
      <c r="F28" s="8">
        <f t="shared" si="2"/>
        <v>1624401.839999999</v>
      </c>
      <c r="G28" s="8">
        <f t="shared" si="2"/>
        <v>1523076.749999999</v>
      </c>
      <c r="H28" s="8">
        <f t="shared" si="2"/>
        <v>1421751.6599999992</v>
      </c>
      <c r="I28" s="8">
        <f t="shared" si="2"/>
        <v>1320426.5699999994</v>
      </c>
      <c r="J28" s="4"/>
    </row>
    <row r="29" spans="1:10" ht="18" customHeight="1">
      <c r="A29" s="17" t="s">
        <v>804</v>
      </c>
      <c r="B29" s="13" t="s">
        <v>805</v>
      </c>
      <c r="C29" s="8">
        <v>85408850.2</v>
      </c>
      <c r="D29" s="8">
        <v>83038059.26</v>
      </c>
      <c r="E29" s="8">
        <f>85408850.2+1500000</f>
        <v>86908850.2</v>
      </c>
      <c r="F29" s="15">
        <f>E29+'自建项目及经营性投资项目预算表'!H17</f>
        <v>93982940.4825</v>
      </c>
      <c r="G29" s="15">
        <f>F29+'自建项目及经营性投资项目预算表'!I17</f>
        <v>101367030.765</v>
      </c>
      <c r="H29" s="15">
        <f>G29+'自建项目及经营性投资项目预算表'!J17</f>
        <v>109161121.0475</v>
      </c>
      <c r="I29" s="15">
        <f>H29+'自建项目及经营性投资项目预算表'!K17</f>
        <v>116895211.33</v>
      </c>
      <c r="J29" s="4"/>
    </row>
    <row r="30" spans="1:10" ht="18" customHeight="1">
      <c r="A30" s="17" t="s">
        <v>806</v>
      </c>
      <c r="B30" s="13" t="s">
        <v>807</v>
      </c>
      <c r="C30" s="8"/>
      <c r="D30" s="8"/>
      <c r="E30" s="8"/>
      <c r="F30" s="15"/>
      <c r="G30" s="15"/>
      <c r="H30" s="15"/>
      <c r="I30" s="15"/>
      <c r="J30" s="4"/>
    </row>
    <row r="31" spans="1:10" ht="18" customHeight="1">
      <c r="A31" s="17" t="s">
        <v>808</v>
      </c>
      <c r="B31" s="13" t="s">
        <v>809</v>
      </c>
      <c r="C31" s="8"/>
      <c r="D31" s="8"/>
      <c r="E31" s="8"/>
      <c r="F31" s="15"/>
      <c r="G31" s="15"/>
      <c r="H31" s="15"/>
      <c r="I31" s="15"/>
      <c r="J31" s="4"/>
    </row>
    <row r="32" spans="1:10" ht="18" customHeight="1">
      <c r="A32" s="17" t="s">
        <v>810</v>
      </c>
      <c r="B32" s="13" t="s">
        <v>811</v>
      </c>
      <c r="C32" s="8"/>
      <c r="D32" s="8"/>
      <c r="E32" s="8"/>
      <c r="F32" s="15"/>
      <c r="G32" s="15"/>
      <c r="H32" s="15"/>
      <c r="I32" s="15"/>
      <c r="J32" s="4"/>
    </row>
    <row r="33" spans="1:10" ht="18" customHeight="1">
      <c r="A33" s="17" t="s">
        <v>812</v>
      </c>
      <c r="B33" s="13" t="s">
        <v>813</v>
      </c>
      <c r="C33" s="8"/>
      <c r="D33" s="8"/>
      <c r="E33" s="8"/>
      <c r="F33" s="15"/>
      <c r="G33" s="15"/>
      <c r="H33" s="15"/>
      <c r="I33" s="15"/>
      <c r="J33" s="4"/>
    </row>
    <row r="34" spans="1:10" ht="18" customHeight="1">
      <c r="A34" s="17" t="s">
        <v>814</v>
      </c>
      <c r="B34" s="13" t="s">
        <v>815</v>
      </c>
      <c r="C34" s="8"/>
      <c r="D34" s="8"/>
      <c r="E34" s="8"/>
      <c r="F34" s="8"/>
      <c r="G34" s="8"/>
      <c r="H34" s="8"/>
      <c r="I34" s="8"/>
      <c r="J34" s="4"/>
    </row>
    <row r="35" spans="1:10" ht="18" customHeight="1">
      <c r="A35" s="17" t="s">
        <v>816</v>
      </c>
      <c r="B35" s="13" t="s">
        <v>817</v>
      </c>
      <c r="C35" s="8"/>
      <c r="D35" s="8"/>
      <c r="E35" s="8"/>
      <c r="F35" s="15"/>
      <c r="G35" s="15"/>
      <c r="H35" s="15"/>
      <c r="I35" s="15"/>
      <c r="J35" s="4"/>
    </row>
    <row r="36" spans="1:10" ht="18" customHeight="1">
      <c r="A36" s="17" t="s">
        <v>818</v>
      </c>
      <c r="B36" s="13" t="s">
        <v>819</v>
      </c>
      <c r="C36" s="8"/>
      <c r="D36" s="8"/>
      <c r="E36" s="8"/>
      <c r="F36" s="8"/>
      <c r="G36" s="8"/>
      <c r="H36" s="8"/>
      <c r="I36" s="8"/>
      <c r="J36" s="4"/>
    </row>
    <row r="37" spans="1:10" ht="18" customHeight="1">
      <c r="A37" s="17" t="s">
        <v>820</v>
      </c>
      <c r="B37" s="13" t="s">
        <v>821</v>
      </c>
      <c r="C37" s="8">
        <v>192908.33</v>
      </c>
      <c r="D37" s="8">
        <v>164858.3</v>
      </c>
      <c r="E37" s="8">
        <f>D37+'17)管理费用预算表'!C70</f>
        <v>174208.31</v>
      </c>
      <c r="F37" s="15">
        <f>E37+'5)固定资产及无形资产预算表'!F12-'17)管理费用预算表'!F70</f>
        <v>164858.3</v>
      </c>
      <c r="G37" s="15">
        <f>F37+'5)固定资产及无形资产预算表'!G12-'17)管理费用预算表'!G70</f>
        <v>155508.28999999998</v>
      </c>
      <c r="H37" s="15">
        <f>G37+'5)固定资产及无形资产预算表'!H12-'17)管理费用预算表'!H70</f>
        <v>146158.27999999997</v>
      </c>
      <c r="I37" s="15">
        <f>H37+'5)固定资产及无形资产预算表'!I12-'17)管理费用预算表'!I70</f>
        <v>136808.26999999996</v>
      </c>
      <c r="J37" s="4"/>
    </row>
    <row r="38" spans="1:10" ht="18" customHeight="1">
      <c r="A38" s="17" t="s">
        <v>822</v>
      </c>
      <c r="B38" s="13" t="s">
        <v>823</v>
      </c>
      <c r="C38" s="8"/>
      <c r="D38" s="8"/>
      <c r="E38" s="8"/>
      <c r="F38" s="15"/>
      <c r="G38" s="15"/>
      <c r="H38" s="15"/>
      <c r="I38" s="15"/>
      <c r="J38" s="4"/>
    </row>
    <row r="39" spans="1:10" ht="18" customHeight="1">
      <c r="A39" s="17" t="s">
        <v>824</v>
      </c>
      <c r="B39" s="13" t="s">
        <v>825</v>
      </c>
      <c r="C39" s="8"/>
      <c r="D39" s="8"/>
      <c r="E39" s="8"/>
      <c r="F39" s="15"/>
      <c r="G39" s="15"/>
      <c r="H39" s="15"/>
      <c r="I39" s="15"/>
      <c r="J39" s="4"/>
    </row>
    <row r="40" spans="1:10" ht="18" customHeight="1">
      <c r="A40" s="17" t="s">
        <v>826</v>
      </c>
      <c r="B40" s="13" t="s">
        <v>827</v>
      </c>
      <c r="C40" s="8"/>
      <c r="D40" s="8"/>
      <c r="E40" s="8"/>
      <c r="F40" s="15"/>
      <c r="G40" s="15"/>
      <c r="H40" s="15"/>
      <c r="I40" s="15"/>
      <c r="J40" s="4"/>
    </row>
    <row r="41" spans="1:10" ht="18" customHeight="1">
      <c r="A41" s="17" t="s">
        <v>828</v>
      </c>
      <c r="B41" s="13" t="s">
        <v>829</v>
      </c>
      <c r="C41" s="8"/>
      <c r="D41" s="8"/>
      <c r="E41" s="8"/>
      <c r="F41" s="15"/>
      <c r="G41" s="15"/>
      <c r="H41" s="15"/>
      <c r="I41" s="15"/>
      <c r="J41" s="4"/>
    </row>
    <row r="42" spans="1:10" ht="18" customHeight="1">
      <c r="A42" s="17" t="s">
        <v>830</v>
      </c>
      <c r="B42" s="13" t="s">
        <v>831</v>
      </c>
      <c r="C42" s="8">
        <f aca="true" t="shared" si="3" ref="C42:I42">C24-C25+C29+C37</f>
        <v>87685061.33</v>
      </c>
      <c r="D42" s="8">
        <f t="shared" si="3"/>
        <v>85026123.97</v>
      </c>
      <c r="E42" s="8">
        <f t="shared" si="3"/>
        <v>88808785.44</v>
      </c>
      <c r="F42" s="8">
        <f t="shared" si="3"/>
        <v>95772200.6225</v>
      </c>
      <c r="G42" s="8">
        <f t="shared" si="3"/>
        <v>103045615.805</v>
      </c>
      <c r="H42" s="8">
        <f t="shared" si="3"/>
        <v>110729030.9875</v>
      </c>
      <c r="I42" s="8">
        <f t="shared" si="3"/>
        <v>118352446.16999999</v>
      </c>
      <c r="J42" s="4"/>
    </row>
    <row r="43" spans="1:10" ht="18" customHeight="1">
      <c r="A43" s="17" t="s">
        <v>832</v>
      </c>
      <c r="B43" s="13" t="s">
        <v>833</v>
      </c>
      <c r="C43" s="8">
        <f aca="true" t="shared" si="4" ref="C43:I43">C17+C42</f>
        <v>135917882.229</v>
      </c>
      <c r="D43" s="8">
        <f t="shared" si="4"/>
        <v>134425207.23</v>
      </c>
      <c r="E43" s="8">
        <f t="shared" si="4"/>
        <v>137660917.63</v>
      </c>
      <c r="F43" s="8">
        <f t="shared" si="4"/>
        <v>144822070.4025</v>
      </c>
      <c r="G43" s="8">
        <f t="shared" si="4"/>
        <v>151463401.47500002</v>
      </c>
      <c r="H43" s="8">
        <f t="shared" si="4"/>
        <v>159218874.2475</v>
      </c>
      <c r="I43" s="8">
        <f t="shared" si="4"/>
        <v>168838235.1</v>
      </c>
      <c r="J43" s="4"/>
    </row>
    <row r="44" spans="1:10" ht="18" customHeight="1">
      <c r="A44" s="4"/>
      <c r="B44" s="4"/>
      <c r="C44" s="11" t="s">
        <v>343</v>
      </c>
      <c r="D44" s="12" t="s">
        <v>121</v>
      </c>
      <c r="E44" s="11"/>
      <c r="F44" s="11"/>
      <c r="G44" s="4"/>
      <c r="H44" s="11" t="s">
        <v>834</v>
      </c>
      <c r="I44" s="12" t="s">
        <v>118</v>
      </c>
      <c r="J44" s="4"/>
    </row>
  </sheetData>
  <sheetProtection/>
  <mergeCells count="9">
    <mergeCell ref="A1:J1"/>
    <mergeCell ref="B2:F2"/>
    <mergeCell ref="F3:I3"/>
    <mergeCell ref="A3:A4"/>
    <mergeCell ref="B3:B4"/>
    <mergeCell ref="C3:C4"/>
    <mergeCell ref="D3:D4"/>
    <mergeCell ref="E3:E4"/>
    <mergeCell ref="J3:J4"/>
  </mergeCells>
  <printOptions/>
  <pageMargins left="0.4" right="0.36" top="0.98" bottom="0.98" header="0.51" footer="0.51"/>
  <pageSetup fitToHeight="1" fitToWidth="1" horizontalDpi="300" verticalDpi="300" orientation="portrait" paperSize="9" scale="8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workbookViewId="0" topLeftCell="A15">
      <selection activeCell="I26" sqref="I26"/>
    </sheetView>
  </sheetViews>
  <sheetFormatPr defaultColWidth="9.140625" defaultRowHeight="12.75"/>
  <cols>
    <col min="1" max="1" width="26.7109375" style="0" customWidth="1"/>
    <col min="2" max="2" width="5.00390625" style="0" customWidth="1"/>
    <col min="3" max="9" width="14.7109375" style="0" customWidth="1"/>
    <col min="10" max="10" width="8.28125" style="0" customWidth="1"/>
    <col min="12" max="12" width="12.8515625" style="0" bestFit="1" customWidth="1"/>
  </cols>
  <sheetData>
    <row r="1" spans="1:10" ht="24.75" customHeight="1">
      <c r="A1" s="27" t="s">
        <v>835</v>
      </c>
      <c r="B1" s="27" t="s">
        <v>835</v>
      </c>
      <c r="C1" s="27" t="s">
        <v>835</v>
      </c>
      <c r="D1" s="27"/>
      <c r="E1" s="27"/>
      <c r="F1" s="27" t="s">
        <v>835</v>
      </c>
      <c r="G1" s="27" t="s">
        <v>835</v>
      </c>
      <c r="H1" s="27" t="s">
        <v>835</v>
      </c>
      <c r="I1" s="27" t="s">
        <v>835</v>
      </c>
      <c r="J1" s="27" t="s">
        <v>835</v>
      </c>
    </row>
    <row r="2" spans="1:10" ht="18" customHeight="1">
      <c r="A2" s="4" t="s">
        <v>272</v>
      </c>
      <c r="B2" s="3"/>
      <c r="C2" s="3"/>
      <c r="D2" s="3"/>
      <c r="E2" s="3"/>
      <c r="F2" s="3"/>
      <c r="G2" s="28">
        <v>2022</v>
      </c>
      <c r="H2" s="4" t="s">
        <v>767</v>
      </c>
      <c r="I2" s="4"/>
      <c r="J2" s="11" t="s">
        <v>1</v>
      </c>
    </row>
    <row r="3" spans="1:10" ht="18" customHeight="1">
      <c r="A3" s="13" t="s">
        <v>768</v>
      </c>
      <c r="B3" s="13" t="s">
        <v>769</v>
      </c>
      <c r="C3" s="6" t="s">
        <v>770</v>
      </c>
      <c r="D3" s="29" t="s">
        <v>771</v>
      </c>
      <c r="E3" s="6" t="s">
        <v>427</v>
      </c>
      <c r="F3" s="6" t="s">
        <v>772</v>
      </c>
      <c r="G3" s="6" t="s">
        <v>772</v>
      </c>
      <c r="H3" s="6" t="s">
        <v>772</v>
      </c>
      <c r="I3" s="6" t="s">
        <v>772</v>
      </c>
      <c r="J3" s="13" t="s">
        <v>36</v>
      </c>
    </row>
    <row r="4" spans="1:10" ht="18" customHeight="1">
      <c r="A4" s="13" t="s">
        <v>768</v>
      </c>
      <c r="B4" s="13" t="s">
        <v>769</v>
      </c>
      <c r="C4" s="6"/>
      <c r="D4" s="30"/>
      <c r="E4" s="6"/>
      <c r="F4" s="6" t="s">
        <v>306</v>
      </c>
      <c r="G4" s="6" t="s">
        <v>307</v>
      </c>
      <c r="H4" s="6" t="s">
        <v>308</v>
      </c>
      <c r="I4" s="6" t="s">
        <v>309</v>
      </c>
      <c r="J4" s="13" t="s">
        <v>36</v>
      </c>
    </row>
    <row r="5" spans="1:10" ht="18" customHeight="1">
      <c r="A5" s="17" t="s">
        <v>836</v>
      </c>
      <c r="B5" s="13" t="s">
        <v>473</v>
      </c>
      <c r="C5" s="13" t="s">
        <v>473</v>
      </c>
      <c r="D5" s="13" t="s">
        <v>473</v>
      </c>
      <c r="E5" s="13" t="s">
        <v>473</v>
      </c>
      <c r="F5" s="13" t="s">
        <v>473</v>
      </c>
      <c r="G5" s="13" t="s">
        <v>473</v>
      </c>
      <c r="H5" s="13" t="s">
        <v>473</v>
      </c>
      <c r="I5" s="13" t="s">
        <v>473</v>
      </c>
      <c r="J5" s="4"/>
    </row>
    <row r="6" spans="1:10" ht="18" customHeight="1">
      <c r="A6" s="17" t="s">
        <v>837</v>
      </c>
      <c r="B6" s="13" t="s">
        <v>838</v>
      </c>
      <c r="C6" s="8"/>
      <c r="D6" s="8"/>
      <c r="E6" s="8"/>
      <c r="F6" s="15"/>
      <c r="G6" s="15"/>
      <c r="H6" s="15"/>
      <c r="I6" s="15"/>
      <c r="J6" s="4"/>
    </row>
    <row r="7" spans="1:10" ht="18" customHeight="1">
      <c r="A7" s="17" t="s">
        <v>839</v>
      </c>
      <c r="B7" s="13" t="s">
        <v>840</v>
      </c>
      <c r="C7" s="8"/>
      <c r="D7" s="8"/>
      <c r="E7" s="8"/>
      <c r="F7" s="15"/>
      <c r="G7" s="15"/>
      <c r="H7" s="15"/>
      <c r="I7" s="15"/>
      <c r="J7" s="4"/>
    </row>
    <row r="8" spans="1:10" ht="18" customHeight="1">
      <c r="A8" s="17" t="s">
        <v>841</v>
      </c>
      <c r="B8" s="13" t="s">
        <v>842</v>
      </c>
      <c r="C8" s="8"/>
      <c r="D8" s="8"/>
      <c r="E8" s="8"/>
      <c r="F8" s="15"/>
      <c r="G8" s="15"/>
      <c r="H8" s="15"/>
      <c r="I8" s="15"/>
      <c r="J8" s="4"/>
    </row>
    <row r="9" spans="1:10" ht="18" customHeight="1">
      <c r="A9" s="17" t="s">
        <v>843</v>
      </c>
      <c r="B9" s="13" t="s">
        <v>844</v>
      </c>
      <c r="C9" s="15"/>
      <c r="D9" s="15"/>
      <c r="E9" s="15"/>
      <c r="F9" s="15"/>
      <c r="G9" s="15"/>
      <c r="H9" s="15"/>
      <c r="I9" s="15"/>
      <c r="J9" s="4"/>
    </row>
    <row r="10" spans="1:10" ht="18" customHeight="1">
      <c r="A10" s="17" t="s">
        <v>845</v>
      </c>
      <c r="B10" s="13" t="s">
        <v>846</v>
      </c>
      <c r="C10" s="8">
        <v>2872439.32</v>
      </c>
      <c r="D10" s="8">
        <v>2695641.67</v>
      </c>
      <c r="E10" s="8">
        <v>2872439.32</v>
      </c>
      <c r="F10" s="15">
        <f>E10</f>
        <v>2872439.32</v>
      </c>
      <c r="G10" s="15">
        <f>F10</f>
        <v>2872439.32</v>
      </c>
      <c r="H10" s="15">
        <f>G10</f>
        <v>2872439.32</v>
      </c>
      <c r="I10" s="15">
        <f>H10</f>
        <v>2872439.32</v>
      </c>
      <c r="J10" s="4"/>
    </row>
    <row r="11" spans="1:10" ht="18" customHeight="1">
      <c r="A11" s="17" t="s">
        <v>847</v>
      </c>
      <c r="B11" s="13" t="s">
        <v>848</v>
      </c>
      <c r="C11" s="8">
        <v>207858.58</v>
      </c>
      <c r="D11" s="8">
        <v>206130.58</v>
      </c>
      <c r="E11" s="8">
        <v>206130.58</v>
      </c>
      <c r="F11" s="15">
        <f>SUM(F12:F13)</f>
        <v>206130.58</v>
      </c>
      <c r="G11" s="15">
        <f>SUM(G12:G13)</f>
        <v>206130.58</v>
      </c>
      <c r="H11" s="15">
        <f>SUM(H12:H13)</f>
        <v>206130.58</v>
      </c>
      <c r="I11" s="15">
        <f>SUM(I12:I13)</f>
        <v>206130.58</v>
      </c>
      <c r="J11" s="4"/>
    </row>
    <row r="12" spans="1:10" ht="18" customHeight="1">
      <c r="A12" s="17" t="s">
        <v>849</v>
      </c>
      <c r="B12" s="13" t="s">
        <v>850</v>
      </c>
      <c r="C12" s="8">
        <v>207858.58</v>
      </c>
      <c r="D12" s="8">
        <v>206130.58</v>
      </c>
      <c r="E12" s="8">
        <v>206130.58</v>
      </c>
      <c r="F12" s="15">
        <v>206130.58</v>
      </c>
      <c r="G12" s="15">
        <v>206130.58</v>
      </c>
      <c r="H12" s="15">
        <v>206130.58</v>
      </c>
      <c r="I12" s="15">
        <v>206130.58</v>
      </c>
      <c r="J12" s="4"/>
    </row>
    <row r="13" spans="1:10" ht="18" customHeight="1">
      <c r="A13" s="17" t="s">
        <v>851</v>
      </c>
      <c r="B13" s="13" t="s">
        <v>852</v>
      </c>
      <c r="C13" s="8"/>
      <c r="D13" s="8"/>
      <c r="E13" s="8"/>
      <c r="F13" s="15"/>
      <c r="G13" s="15"/>
      <c r="H13" s="15"/>
      <c r="I13" s="15"/>
      <c r="J13" s="4"/>
    </row>
    <row r="14" spans="1:10" ht="18" customHeight="1">
      <c r="A14" s="17" t="s">
        <v>853</v>
      </c>
      <c r="B14" s="13" t="s">
        <v>854</v>
      </c>
      <c r="C14" s="8">
        <v>29246.81</v>
      </c>
      <c r="D14" s="8">
        <v>29022.55</v>
      </c>
      <c r="E14" s="8">
        <v>29022.55</v>
      </c>
      <c r="F14" s="15">
        <f>'15)税金预算表'!F9+'15)税金预算表'!F14+'15)税金预算表'!F19+'15)税金预算表'!F24+'15)税金预算表'!F34+'15)税金预算表'!F39+'15)税金预算表'!F44+'15)税金预算表'!F49+'15)税金预算表'!F54+'15)税金预算表'!F59+'15)税金预算表'!F64</f>
        <v>28115.189999999995</v>
      </c>
      <c r="G14" s="15">
        <f>'15)税金预算表'!G9+'15)税金预算表'!G14+'15)税金预算表'!G19+'15)税金预算表'!G24+'15)税金预算表'!G34+'15)税金预算表'!G39+'15)税金预算表'!G44+'15)税金预算表'!G49+'15)税金预算表'!G54+'15)税金预算表'!G59+'15)税金预算表'!G64</f>
        <v>28115.187999999995</v>
      </c>
      <c r="H14" s="15">
        <f>'15)税金预算表'!H9+'15)税金预算表'!H14+'15)税金预算表'!H19+'15)税金预算表'!H24+'15)税金预算表'!H34+'15)税金预算表'!H39+'15)税金预算表'!H44+'15)税金预算表'!H49+'15)税金预算表'!H54+'15)税金预算表'!H59+'15)税金预算表'!H64</f>
        <v>28115.189999999995</v>
      </c>
      <c r="I14" s="15">
        <f>'15)税金预算表'!I9+'15)税金预算表'!I14+'15)税金预算表'!I19+'15)税金预算表'!I24+'15)税金预算表'!I34+'15)税金预算表'!I39+'15)税金预算表'!I44+'15)税金预算表'!I49+'15)税金预算表'!I54+'15)税金预算表'!I59+'15)税金预算表'!I64</f>
        <v>28115.189999999995</v>
      </c>
      <c r="J14" s="4"/>
    </row>
    <row r="15" spans="1:10" ht="18" customHeight="1">
      <c r="A15" s="17" t="s">
        <v>855</v>
      </c>
      <c r="B15" s="13" t="s">
        <v>856</v>
      </c>
      <c r="C15" s="8"/>
      <c r="D15" s="8"/>
      <c r="E15" s="8"/>
      <c r="F15" s="15"/>
      <c r="G15" s="15"/>
      <c r="H15" s="15"/>
      <c r="I15" s="15"/>
      <c r="J15" s="4"/>
    </row>
    <row r="16" spans="1:10" ht="18" customHeight="1">
      <c r="A16" s="17" t="s">
        <v>857</v>
      </c>
      <c r="B16" s="13" t="s">
        <v>858</v>
      </c>
      <c r="C16" s="8"/>
      <c r="D16" s="8"/>
      <c r="E16" s="8"/>
      <c r="F16" s="15"/>
      <c r="G16" s="15"/>
      <c r="H16" s="15"/>
      <c r="I16" s="15"/>
      <c r="J16" s="4"/>
    </row>
    <row r="17" spans="1:10" ht="18" customHeight="1">
      <c r="A17" s="17" t="s">
        <v>859</v>
      </c>
      <c r="B17" s="13" t="s">
        <v>860</v>
      </c>
      <c r="C17" s="8">
        <v>9602498.52</v>
      </c>
      <c r="D17" s="8">
        <v>13736326.54</v>
      </c>
      <c r="E17" s="8">
        <f>13736326.54-1427284.72+1333467.32</f>
        <v>13642509.139999999</v>
      </c>
      <c r="F17" s="15">
        <v>14653478.44</v>
      </c>
      <c r="G17" s="15">
        <v>15599646.85</v>
      </c>
      <c r="H17" s="15">
        <v>16619708.78</v>
      </c>
      <c r="I17" s="15">
        <v>10268268.5</v>
      </c>
      <c r="J17" s="4"/>
    </row>
    <row r="18" spans="1:10" ht="18" customHeight="1">
      <c r="A18" s="17" t="s">
        <v>861</v>
      </c>
      <c r="B18" s="13" t="s">
        <v>862</v>
      </c>
      <c r="C18" s="15"/>
      <c r="D18" s="15"/>
      <c r="E18" s="15"/>
      <c r="F18" s="15"/>
      <c r="G18" s="15"/>
      <c r="H18" s="15"/>
      <c r="I18" s="15"/>
      <c r="J18" s="4"/>
    </row>
    <row r="19" spans="1:10" ht="18" customHeight="1">
      <c r="A19" s="17" t="s">
        <v>863</v>
      </c>
      <c r="B19" s="13" t="s">
        <v>864</v>
      </c>
      <c r="C19" s="8"/>
      <c r="D19" s="8"/>
      <c r="E19" s="8"/>
      <c r="F19" s="15"/>
      <c r="G19" s="15"/>
      <c r="H19" s="15"/>
      <c r="I19" s="15"/>
      <c r="J19" s="4"/>
    </row>
    <row r="20" spans="1:10" ht="18" customHeight="1">
      <c r="A20" s="17" t="s">
        <v>865</v>
      </c>
      <c r="B20" s="13" t="s">
        <v>866</v>
      </c>
      <c r="C20" s="8">
        <f aca="true" t="shared" si="0" ref="C20:I20">C6+C7+C8+C9+C10+C11+C14+C15+C16+C17+C18+C19</f>
        <v>12712043.23</v>
      </c>
      <c r="D20" s="8">
        <f t="shared" si="0"/>
        <v>16667121.34</v>
      </c>
      <c r="E20" s="8">
        <f t="shared" si="0"/>
        <v>16750101.589999998</v>
      </c>
      <c r="F20" s="8">
        <f t="shared" si="0"/>
        <v>17760163.53</v>
      </c>
      <c r="G20" s="8">
        <f t="shared" si="0"/>
        <v>18706331.938</v>
      </c>
      <c r="H20" s="8">
        <f t="shared" si="0"/>
        <v>19726393.869999997</v>
      </c>
      <c r="I20" s="8">
        <f t="shared" si="0"/>
        <v>13374953.59</v>
      </c>
      <c r="J20" s="4"/>
    </row>
    <row r="21" spans="1:10" ht="18" customHeight="1">
      <c r="A21" s="17" t="s">
        <v>867</v>
      </c>
      <c r="B21" s="13" t="s">
        <v>473</v>
      </c>
      <c r="C21" s="13" t="s">
        <v>473</v>
      </c>
      <c r="D21" s="13" t="s">
        <v>473</v>
      </c>
      <c r="E21" s="13" t="s">
        <v>473</v>
      </c>
      <c r="F21" s="13" t="s">
        <v>473</v>
      </c>
      <c r="G21" s="13" t="s">
        <v>473</v>
      </c>
      <c r="H21" s="13" t="s">
        <v>473</v>
      </c>
      <c r="I21" s="13" t="s">
        <v>473</v>
      </c>
      <c r="J21" s="4"/>
    </row>
    <row r="22" spans="1:10" ht="18" customHeight="1">
      <c r="A22" s="17" t="s">
        <v>868</v>
      </c>
      <c r="B22" s="13" t="s">
        <v>869</v>
      </c>
      <c r="C22" s="8">
        <v>12660000</v>
      </c>
      <c r="D22" s="8">
        <v>12660000</v>
      </c>
      <c r="E22" s="8">
        <v>12660000</v>
      </c>
      <c r="F22" s="15">
        <v>12660000</v>
      </c>
      <c r="G22" s="15">
        <v>12660000</v>
      </c>
      <c r="H22" s="15">
        <v>12660000</v>
      </c>
      <c r="I22" s="15">
        <v>12660000</v>
      </c>
      <c r="J22" s="4"/>
    </row>
    <row r="23" spans="1:10" ht="18" customHeight="1">
      <c r="A23" s="17" t="s">
        <v>870</v>
      </c>
      <c r="B23" s="13" t="s">
        <v>871</v>
      </c>
      <c r="C23" s="8"/>
      <c r="D23" s="8"/>
      <c r="E23" s="8"/>
      <c r="F23" s="15"/>
      <c r="G23" s="15"/>
      <c r="H23" s="15"/>
      <c r="I23" s="15"/>
      <c r="J23" s="4"/>
    </row>
    <row r="24" spans="1:10" ht="18" customHeight="1">
      <c r="A24" s="17" t="s">
        <v>872</v>
      </c>
      <c r="B24" s="13" t="s">
        <v>873</v>
      </c>
      <c r="C24" s="8"/>
      <c r="D24" s="8"/>
      <c r="E24" s="8"/>
      <c r="F24" s="15"/>
      <c r="G24" s="15"/>
      <c r="H24" s="15"/>
      <c r="I24" s="15"/>
      <c r="J24" s="4"/>
    </row>
    <row r="25" spans="1:10" ht="18" customHeight="1">
      <c r="A25" s="17" t="s">
        <v>874</v>
      </c>
      <c r="B25" s="13" t="s">
        <v>875</v>
      </c>
      <c r="C25" s="8">
        <v>91033701.15</v>
      </c>
      <c r="D25" s="8">
        <v>84671735.64</v>
      </c>
      <c r="E25" s="8">
        <f>84671735.64+2000000+700000</f>
        <v>87371735.64</v>
      </c>
      <c r="F25" s="15">
        <v>94405825.92</v>
      </c>
      <c r="G25" s="15">
        <v>101439916.2</v>
      </c>
      <c r="H25" s="15">
        <v>108474006.49</v>
      </c>
      <c r="I25" s="15">
        <v>122742187.05</v>
      </c>
      <c r="J25" s="4"/>
    </row>
    <row r="26" spans="1:10" ht="18" customHeight="1">
      <c r="A26" s="17" t="s">
        <v>876</v>
      </c>
      <c r="B26" s="13" t="s">
        <v>877</v>
      </c>
      <c r="C26" s="8"/>
      <c r="D26" s="8"/>
      <c r="E26" s="8"/>
      <c r="F26" s="15"/>
      <c r="G26" s="15"/>
      <c r="H26" s="15"/>
      <c r="I26" s="15"/>
      <c r="J26" s="4"/>
    </row>
    <row r="27" spans="1:10" ht="18" customHeight="1">
      <c r="A27" s="17" t="s">
        <v>878</v>
      </c>
      <c r="B27" s="31">
        <v>58</v>
      </c>
      <c r="C27" s="8">
        <v>24469772.79</v>
      </c>
      <c r="D27" s="8">
        <v>16507884.55</v>
      </c>
      <c r="E27" s="8">
        <v>9334709.55</v>
      </c>
      <c r="F27" s="15">
        <f>9007884.55+273578.7</f>
        <v>9281463.25</v>
      </c>
      <c r="G27" s="15">
        <f>9007884.55-178667.6</f>
        <v>8829216.950000001</v>
      </c>
      <c r="H27" s="15">
        <v>8890970.65</v>
      </c>
      <c r="I27" s="15">
        <v>8363224.35</v>
      </c>
      <c r="J27" s="4"/>
    </row>
    <row r="28" spans="1:10" ht="18" customHeight="1">
      <c r="A28" s="17" t="s">
        <v>879</v>
      </c>
      <c r="B28" s="31">
        <v>59</v>
      </c>
      <c r="C28" s="8"/>
      <c r="D28" s="8"/>
      <c r="E28" s="8"/>
      <c r="F28" s="15"/>
      <c r="G28" s="15"/>
      <c r="H28" s="15"/>
      <c r="I28" s="15"/>
      <c r="J28" s="4"/>
    </row>
    <row r="29" spans="1:10" ht="18" customHeight="1">
      <c r="A29" s="17" t="s">
        <v>880</v>
      </c>
      <c r="B29" s="31">
        <v>60</v>
      </c>
      <c r="C29" s="8"/>
      <c r="D29" s="8"/>
      <c r="E29" s="8"/>
      <c r="F29" s="15"/>
      <c r="G29" s="15"/>
      <c r="H29" s="15"/>
      <c r="I29" s="15"/>
      <c r="J29" s="4"/>
    </row>
    <row r="30" spans="1:10" ht="18" customHeight="1">
      <c r="A30" s="17" t="s">
        <v>881</v>
      </c>
      <c r="B30" s="31">
        <v>61</v>
      </c>
      <c r="C30" s="8">
        <f aca="true" t="shared" si="1" ref="C30:I30">SUM(C22:C29)</f>
        <v>128163473.94</v>
      </c>
      <c r="D30" s="8">
        <f t="shared" si="1"/>
        <v>113839620.19</v>
      </c>
      <c r="E30" s="8">
        <f t="shared" si="1"/>
        <v>109366445.19</v>
      </c>
      <c r="F30" s="8">
        <f t="shared" si="1"/>
        <v>116347289.17</v>
      </c>
      <c r="G30" s="8">
        <f t="shared" si="1"/>
        <v>122929133.15</v>
      </c>
      <c r="H30" s="8">
        <f t="shared" si="1"/>
        <v>130024977.14</v>
      </c>
      <c r="I30" s="8">
        <f t="shared" si="1"/>
        <v>143765411.4</v>
      </c>
      <c r="J30" s="4"/>
    </row>
    <row r="31" spans="1:10" ht="18" customHeight="1">
      <c r="A31" s="17" t="s">
        <v>882</v>
      </c>
      <c r="B31" s="31">
        <v>62</v>
      </c>
      <c r="C31" s="8">
        <f aca="true" t="shared" si="2" ref="C31:I31">C20+C30</f>
        <v>140875517.17</v>
      </c>
      <c r="D31" s="8">
        <f t="shared" si="2"/>
        <v>130506741.53</v>
      </c>
      <c r="E31" s="8">
        <f t="shared" si="2"/>
        <v>126116546.78</v>
      </c>
      <c r="F31" s="8">
        <f t="shared" si="2"/>
        <v>134107452.7</v>
      </c>
      <c r="G31" s="8">
        <f t="shared" si="2"/>
        <v>141635465.088</v>
      </c>
      <c r="H31" s="8">
        <f t="shared" si="2"/>
        <v>149751371.01</v>
      </c>
      <c r="I31" s="8">
        <f t="shared" si="2"/>
        <v>157140364.99</v>
      </c>
      <c r="J31" s="4"/>
    </row>
    <row r="32" spans="1:10" ht="18" customHeight="1">
      <c r="A32" s="17" t="s">
        <v>883</v>
      </c>
      <c r="B32" s="13" t="s">
        <v>473</v>
      </c>
      <c r="C32" s="13" t="s">
        <v>473</v>
      </c>
      <c r="D32" s="13" t="s">
        <v>473</v>
      </c>
      <c r="E32" s="13" t="s">
        <v>473</v>
      </c>
      <c r="F32" s="13" t="s">
        <v>473</v>
      </c>
      <c r="G32" s="13" t="s">
        <v>473</v>
      </c>
      <c r="H32" s="13" t="s">
        <v>473</v>
      </c>
      <c r="I32" s="13" t="s">
        <v>473</v>
      </c>
      <c r="J32" s="4"/>
    </row>
    <row r="33" spans="1:10" ht="18" customHeight="1">
      <c r="A33" s="17" t="s">
        <v>884</v>
      </c>
      <c r="B33" s="31">
        <v>63</v>
      </c>
      <c r="C33" s="8">
        <v>33375893.37</v>
      </c>
      <c r="D33" s="8">
        <v>33375893.37</v>
      </c>
      <c r="E33" s="8">
        <v>33375893.37</v>
      </c>
      <c r="F33" s="15">
        <f>C33</f>
        <v>33375893.37</v>
      </c>
      <c r="G33" s="15">
        <f>C33</f>
        <v>33375893.37</v>
      </c>
      <c r="H33" s="15">
        <f>C33</f>
        <v>33375893.37</v>
      </c>
      <c r="I33" s="15">
        <f>C33</f>
        <v>33375893.37</v>
      </c>
      <c r="J33" s="4"/>
    </row>
    <row r="34" spans="1:10" ht="18" customHeight="1">
      <c r="A34" s="17" t="s">
        <v>885</v>
      </c>
      <c r="B34" s="31">
        <v>64</v>
      </c>
      <c r="C34" s="8">
        <v>14631081</v>
      </c>
      <c r="D34" s="8">
        <v>23387244.93</v>
      </c>
      <c r="E34" s="8">
        <v>30887244.93</v>
      </c>
      <c r="F34" s="15">
        <v>30887244.93</v>
      </c>
      <c r="G34" s="15">
        <v>30887244.93</v>
      </c>
      <c r="H34" s="15">
        <v>30887244.93</v>
      </c>
      <c r="I34" s="15">
        <v>30887244.93</v>
      </c>
      <c r="J34" s="4"/>
    </row>
    <row r="35" spans="1:10" ht="18" customHeight="1">
      <c r="A35" s="17" t="s">
        <v>886</v>
      </c>
      <c r="B35" s="31">
        <v>65</v>
      </c>
      <c r="C35" s="8"/>
      <c r="D35" s="8"/>
      <c r="E35" s="8"/>
      <c r="F35" s="15"/>
      <c r="G35" s="15"/>
      <c r="H35" s="15"/>
      <c r="I35" s="15"/>
      <c r="J35" s="4"/>
    </row>
    <row r="36" spans="1:10" ht="18" customHeight="1">
      <c r="A36" s="17" t="s">
        <v>887</v>
      </c>
      <c r="B36" s="31">
        <v>66</v>
      </c>
      <c r="C36" s="8">
        <v>-52964609.311</v>
      </c>
      <c r="D36" s="8">
        <f>C36+'21)利润预算表'!B25</f>
        <v>-52844672.600999996</v>
      </c>
      <c r="E36" s="8">
        <f>D36+'21)利润预算表'!C25</f>
        <v>-52718767.451</v>
      </c>
      <c r="F36" s="15">
        <f>E36+'21)利润预算表'!F30</f>
        <v>-53548520.600999996</v>
      </c>
      <c r="G36" s="15">
        <f>F36+'21)利润预算表'!G30</f>
        <v>-54435201.911</v>
      </c>
      <c r="H36" s="15">
        <f>G36+'21)利润预算表'!H30</f>
        <v>-54795635.061</v>
      </c>
      <c r="I36" s="15">
        <f>H36+'21)利润预算表'!I30</f>
        <v>-52565268.191</v>
      </c>
      <c r="J36" s="4"/>
    </row>
    <row r="37" spans="1:10" ht="18" customHeight="1">
      <c r="A37" s="17" t="s">
        <v>888</v>
      </c>
      <c r="B37" s="31">
        <v>67</v>
      </c>
      <c r="C37" s="8">
        <f aca="true" t="shared" si="3" ref="C37:I37">C33+C34+C36</f>
        <v>-4957634.940999992</v>
      </c>
      <c r="D37" s="8">
        <f t="shared" si="3"/>
        <v>3918465.699000001</v>
      </c>
      <c r="E37" s="8">
        <f t="shared" si="3"/>
        <v>11544370.849</v>
      </c>
      <c r="F37" s="8">
        <f t="shared" si="3"/>
        <v>10714617.699000001</v>
      </c>
      <c r="G37" s="8">
        <f t="shared" si="3"/>
        <v>9827936.388999999</v>
      </c>
      <c r="H37" s="8">
        <f t="shared" si="3"/>
        <v>9467503.239</v>
      </c>
      <c r="I37" s="8">
        <f t="shared" si="3"/>
        <v>11697870.108999997</v>
      </c>
      <c r="J37" s="4"/>
    </row>
    <row r="38" spans="1:10" ht="18" customHeight="1">
      <c r="A38" s="17" t="s">
        <v>889</v>
      </c>
      <c r="B38" s="31">
        <v>68</v>
      </c>
      <c r="C38" s="15"/>
      <c r="D38" s="15"/>
      <c r="E38" s="15"/>
      <c r="F38" s="15"/>
      <c r="G38" s="15"/>
      <c r="H38" s="15"/>
      <c r="I38" s="15"/>
      <c r="J38" s="4"/>
    </row>
    <row r="39" spans="1:10" ht="18" customHeight="1">
      <c r="A39" s="17" t="s">
        <v>890</v>
      </c>
      <c r="B39" s="31">
        <v>69</v>
      </c>
      <c r="C39" s="8">
        <f aca="true" t="shared" si="4" ref="C39:I39">C37+C38</f>
        <v>-4957634.940999992</v>
      </c>
      <c r="D39" s="8">
        <f t="shared" si="4"/>
        <v>3918465.699000001</v>
      </c>
      <c r="E39" s="8">
        <f t="shared" si="4"/>
        <v>11544370.849</v>
      </c>
      <c r="F39" s="8">
        <f t="shared" si="4"/>
        <v>10714617.699000001</v>
      </c>
      <c r="G39" s="8">
        <f t="shared" si="4"/>
        <v>9827936.388999999</v>
      </c>
      <c r="H39" s="8">
        <f t="shared" si="4"/>
        <v>9467503.239</v>
      </c>
      <c r="I39" s="8">
        <f t="shared" si="4"/>
        <v>11697870.108999997</v>
      </c>
      <c r="J39" s="4"/>
    </row>
    <row r="40" spans="1:10" ht="18" customHeight="1">
      <c r="A40" s="17" t="s">
        <v>891</v>
      </c>
      <c r="B40" s="31">
        <v>70</v>
      </c>
      <c r="C40" s="8">
        <f aca="true" t="shared" si="5" ref="C40:I40">C31+C39</f>
        <v>135917882.229</v>
      </c>
      <c r="D40" s="8">
        <f t="shared" si="5"/>
        <v>134425207.229</v>
      </c>
      <c r="E40" s="8">
        <f t="shared" si="5"/>
        <v>137660917.629</v>
      </c>
      <c r="F40" s="8">
        <f t="shared" si="5"/>
        <v>144822070.399</v>
      </c>
      <c r="G40" s="8">
        <f t="shared" si="5"/>
        <v>151463401.477</v>
      </c>
      <c r="H40" s="8">
        <f t="shared" si="5"/>
        <v>159218874.24899998</v>
      </c>
      <c r="I40" s="8">
        <f t="shared" si="5"/>
        <v>168838235.099</v>
      </c>
      <c r="J40" s="4"/>
    </row>
    <row r="41" spans="1:10" ht="18" customHeight="1">
      <c r="A41" s="4"/>
      <c r="B41" s="4"/>
      <c r="C41" s="11" t="s">
        <v>343</v>
      </c>
      <c r="D41" s="12" t="s">
        <v>121</v>
      </c>
      <c r="E41" s="11"/>
      <c r="F41" s="11"/>
      <c r="G41" s="4"/>
      <c r="H41" s="11" t="s">
        <v>834</v>
      </c>
      <c r="I41" s="12" t="s">
        <v>118</v>
      </c>
      <c r="J41" s="4"/>
    </row>
    <row r="43" spans="3:9" ht="12.75">
      <c r="C43">
        <f>C40-'19)资产负债预算表（一）'!C43</f>
        <v>0</v>
      </c>
      <c r="E43">
        <f>'19)资产负债预算表（一）'!E43-E40</f>
        <v>0.0009999871253967285</v>
      </c>
      <c r="F43">
        <f>F40-'19)资产负债预算表（一）'!F43</f>
        <v>-0.003500014543533325</v>
      </c>
      <c r="G43">
        <f>G40-'19)资产负债预算表（一）'!G43</f>
        <v>0.001999974250793457</v>
      </c>
      <c r="H43">
        <f>H40-'19)资产负债预算表（一）'!H43</f>
        <v>0.0014999806880950928</v>
      </c>
      <c r="I43">
        <f>I40-'19)资产负债预算表（一）'!I43</f>
        <v>-0.0009999871253967285</v>
      </c>
    </row>
    <row r="45" spans="6:9" ht="12.75">
      <c r="F45" s="32"/>
      <c r="G45" s="32"/>
      <c r="H45" s="32"/>
      <c r="I45" s="32"/>
    </row>
  </sheetData>
  <sheetProtection/>
  <mergeCells count="9">
    <mergeCell ref="A1:J1"/>
    <mergeCell ref="B2:F2"/>
    <mergeCell ref="F3:I3"/>
    <mergeCell ref="A3:A4"/>
    <mergeCell ref="B3:B4"/>
    <mergeCell ref="C3:C4"/>
    <mergeCell ref="D3:D4"/>
    <mergeCell ref="E3:E4"/>
    <mergeCell ref="J3:J4"/>
  </mergeCells>
  <printOptions/>
  <pageMargins left="0.33" right="0.35" top="0.75" bottom="0.98" header="0.51" footer="0.51"/>
  <pageSetup fitToHeight="1" fitToWidth="1" horizontalDpi="300" verticalDpi="300" orientation="portrait" paperSize="9" scale="86"/>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Q35"/>
  <sheetViews>
    <sheetView workbookViewId="0" topLeftCell="A3">
      <selection activeCell="F21" sqref="F21"/>
    </sheetView>
  </sheetViews>
  <sheetFormatPr defaultColWidth="9.140625" defaultRowHeight="12.75"/>
  <cols>
    <col min="1" max="1" width="38.140625" style="0" customWidth="1"/>
    <col min="2" max="4" width="13.57421875" style="0" customWidth="1"/>
    <col min="5" max="9" width="14.00390625" style="0" customWidth="1"/>
    <col min="10" max="10" width="12.28125" style="0" customWidth="1"/>
    <col min="11" max="11" width="14.00390625" style="0" customWidth="1"/>
    <col min="17" max="17" width="19.421875" style="0" bestFit="1" customWidth="1"/>
  </cols>
  <sheetData>
    <row r="1" spans="1:11" ht="24" customHeight="1">
      <c r="A1" s="16" t="s">
        <v>892</v>
      </c>
      <c r="B1" s="16" t="s">
        <v>892</v>
      </c>
      <c r="C1" s="16" t="s">
        <v>892</v>
      </c>
      <c r="D1" s="16" t="s">
        <v>892</v>
      </c>
      <c r="E1" s="16" t="s">
        <v>892</v>
      </c>
      <c r="F1" s="16" t="s">
        <v>892</v>
      </c>
      <c r="G1" s="16" t="s">
        <v>892</v>
      </c>
      <c r="H1" s="16" t="s">
        <v>892</v>
      </c>
      <c r="I1" s="16" t="s">
        <v>892</v>
      </c>
      <c r="J1" s="16" t="s">
        <v>892</v>
      </c>
      <c r="K1" s="16" t="s">
        <v>892</v>
      </c>
    </row>
    <row r="2" spans="1:11" ht="18" customHeight="1">
      <c r="A2" s="4" t="s">
        <v>272</v>
      </c>
      <c r="B2" s="3"/>
      <c r="C2" s="3"/>
      <c r="D2" s="3"/>
      <c r="F2" s="4"/>
      <c r="G2" s="4" t="s">
        <v>273</v>
      </c>
      <c r="H2" s="4"/>
      <c r="I2" s="4"/>
      <c r="J2" s="11" t="s">
        <v>1</v>
      </c>
      <c r="K2" s="4"/>
    </row>
    <row r="3" spans="1:11" ht="18" customHeight="1">
      <c r="A3" s="13" t="s">
        <v>276</v>
      </c>
      <c r="B3" s="6" t="s">
        <v>314</v>
      </c>
      <c r="C3" s="6" t="s">
        <v>314</v>
      </c>
      <c r="D3" s="6" t="s">
        <v>314</v>
      </c>
      <c r="E3" s="6" t="s">
        <v>278</v>
      </c>
      <c r="F3" s="6" t="s">
        <v>278</v>
      </c>
      <c r="G3" s="6" t="s">
        <v>278</v>
      </c>
      <c r="H3" s="6" t="s">
        <v>278</v>
      </c>
      <c r="I3" s="6" t="s">
        <v>278</v>
      </c>
      <c r="J3" s="6" t="s">
        <v>279</v>
      </c>
      <c r="K3" s="13" t="s">
        <v>36</v>
      </c>
    </row>
    <row r="4" spans="1:11" ht="18" customHeight="1">
      <c r="A4" s="13" t="s">
        <v>276</v>
      </c>
      <c r="B4" s="6" t="s">
        <v>280</v>
      </c>
      <c r="C4" s="6" t="s">
        <v>281</v>
      </c>
      <c r="D4" s="6" t="s">
        <v>427</v>
      </c>
      <c r="E4" s="6" t="s">
        <v>296</v>
      </c>
      <c r="F4" s="6" t="s">
        <v>306</v>
      </c>
      <c r="G4" s="6" t="s">
        <v>307</v>
      </c>
      <c r="H4" s="6" t="s">
        <v>308</v>
      </c>
      <c r="I4" s="6" t="s">
        <v>309</v>
      </c>
      <c r="J4" s="6" t="s">
        <v>279</v>
      </c>
      <c r="K4" s="13" t="s">
        <v>36</v>
      </c>
    </row>
    <row r="5" spans="1:11" ht="18" customHeight="1">
      <c r="A5" s="17" t="s">
        <v>893</v>
      </c>
      <c r="B5" s="8">
        <f>SUM(B6:B7)</f>
        <v>4305963.3100000005</v>
      </c>
      <c r="C5" s="8">
        <f aca="true" t="shared" si="0" ref="C5:I5">SUM(C6:C7)</f>
        <v>5095602.46</v>
      </c>
      <c r="D5" s="8">
        <f t="shared" si="0"/>
        <v>9401565.77</v>
      </c>
      <c r="E5" s="8">
        <f t="shared" si="0"/>
        <v>8149552</v>
      </c>
      <c r="F5" s="8">
        <f t="shared" si="0"/>
        <v>1152388</v>
      </c>
      <c r="G5" s="8">
        <f t="shared" si="0"/>
        <v>1152388</v>
      </c>
      <c r="H5" s="8">
        <f t="shared" si="0"/>
        <v>1632388</v>
      </c>
      <c r="I5" s="8">
        <f t="shared" si="0"/>
        <v>4212388</v>
      </c>
      <c r="J5" s="14">
        <f>E5/D5</f>
        <v>0.8668292281701498</v>
      </c>
      <c r="K5" s="4"/>
    </row>
    <row r="6" spans="1:11" ht="18" customHeight="1">
      <c r="A6" s="17" t="s">
        <v>894</v>
      </c>
      <c r="B6" s="8">
        <f>'12)主营业务收支预算表'!B5</f>
        <v>4305963.3100000005</v>
      </c>
      <c r="C6" s="8">
        <f>'12)主营业务收支预算表'!C5</f>
        <v>3862492.5</v>
      </c>
      <c r="D6" s="8">
        <f>B6+C6</f>
        <v>8168455.8100000005</v>
      </c>
      <c r="E6" s="8">
        <f>SUM(F6:I6)</f>
        <v>8149552</v>
      </c>
      <c r="F6" s="8">
        <f>'12)主营业务收支预算表'!F5</f>
        <v>1152388</v>
      </c>
      <c r="G6" s="8">
        <f>'12)主营业务收支预算表'!G5</f>
        <v>1152388</v>
      </c>
      <c r="H6" s="8">
        <f>'12)主营业务收支预算表'!H5</f>
        <v>1632388</v>
      </c>
      <c r="I6" s="8">
        <f>'12)主营业务收支预算表'!I5</f>
        <v>4212388</v>
      </c>
      <c r="J6" s="14">
        <f aca="true" t="shared" si="1" ref="J6:J30">E6/D6</f>
        <v>0.9976857547571161</v>
      </c>
      <c r="K6" s="4"/>
    </row>
    <row r="7" spans="1:11" ht="18" customHeight="1">
      <c r="A7" s="17" t="s">
        <v>599</v>
      </c>
      <c r="B7" s="8">
        <f>'13)其他业务收支预算表'!B6</f>
        <v>0</v>
      </c>
      <c r="C7" s="8">
        <f>'13)其他业务收支预算表'!C6</f>
        <v>1233109.96</v>
      </c>
      <c r="D7" s="8">
        <f>B7+C7</f>
        <v>1233109.96</v>
      </c>
      <c r="E7" s="8">
        <f>SUM(F7:I7)</f>
        <v>0</v>
      </c>
      <c r="F7" s="8">
        <f>'13)其他业务收支预算表'!F6</f>
        <v>0</v>
      </c>
      <c r="G7" s="8">
        <f>'13)其他业务收支预算表'!G6</f>
        <v>0</v>
      </c>
      <c r="H7" s="8">
        <f>'13)其他业务收支预算表'!H6</f>
        <v>0</v>
      </c>
      <c r="I7" s="8">
        <f>'13)其他业务收支预算表'!I6</f>
        <v>0</v>
      </c>
      <c r="J7" s="14">
        <f t="shared" si="1"/>
        <v>0</v>
      </c>
      <c r="K7" s="4"/>
    </row>
    <row r="8" spans="1:11" ht="18" customHeight="1">
      <c r="A8" s="17" t="s">
        <v>895</v>
      </c>
      <c r="B8" s="8">
        <f>SUM(B9:B10)</f>
        <v>8411327.75</v>
      </c>
      <c r="C8" s="8">
        <f aca="true" t="shared" si="2" ref="C8:I8">SUM(C9:C10)</f>
        <v>3944181.9699999997</v>
      </c>
      <c r="D8" s="8">
        <f t="shared" si="2"/>
        <v>12355509.72</v>
      </c>
      <c r="E8" s="8">
        <f t="shared" si="2"/>
        <v>13066295.5</v>
      </c>
      <c r="F8" s="8">
        <f t="shared" si="2"/>
        <v>3266573.88</v>
      </c>
      <c r="G8" s="8">
        <f t="shared" si="2"/>
        <v>3266573.88</v>
      </c>
      <c r="H8" s="8">
        <f t="shared" si="2"/>
        <v>3266573.88</v>
      </c>
      <c r="I8" s="8">
        <f t="shared" si="2"/>
        <v>3266573.86</v>
      </c>
      <c r="J8" s="14">
        <f t="shared" si="1"/>
        <v>1.0575278394908663</v>
      </c>
      <c r="K8" s="4"/>
    </row>
    <row r="9" spans="1:11" ht="18" customHeight="1">
      <c r="A9" s="17" t="s">
        <v>896</v>
      </c>
      <c r="B9" s="8">
        <f>'12)主营业务收支预算表'!B22</f>
        <v>8411327.75</v>
      </c>
      <c r="C9" s="8">
        <f>'12)主营业务收支预算表'!C22</f>
        <v>2516897.25</v>
      </c>
      <c r="D9" s="8">
        <f>B9+C9</f>
        <v>10928225</v>
      </c>
      <c r="E9" s="8">
        <f>SUM(F9:I9)</f>
        <v>13066295.5</v>
      </c>
      <c r="F9" s="8">
        <f>'12)主营业务收支预算表'!F22</f>
        <v>3266573.88</v>
      </c>
      <c r="G9" s="8">
        <f>'12)主营业务收支预算表'!G22</f>
        <v>3266573.88</v>
      </c>
      <c r="H9" s="8">
        <f>'12)主营业务收支预算表'!H22</f>
        <v>3266573.88</v>
      </c>
      <c r="I9" s="8">
        <f>'12)主营业务收支预算表'!I22</f>
        <v>3266573.86</v>
      </c>
      <c r="J9" s="14">
        <f t="shared" si="1"/>
        <v>1.1956466397791041</v>
      </c>
      <c r="K9" s="4"/>
    </row>
    <row r="10" spans="1:11" ht="18" customHeight="1">
      <c r="A10" s="17" t="s">
        <v>602</v>
      </c>
      <c r="B10" s="8">
        <f>'13)其他业务收支预算表'!B10</f>
        <v>0</v>
      </c>
      <c r="C10" s="8">
        <f>'13)其他业务收支预算表'!C10</f>
        <v>1427284.72</v>
      </c>
      <c r="D10" s="8">
        <f>B10+C10</f>
        <v>1427284.72</v>
      </c>
      <c r="E10" s="8">
        <f>SUM(F10:I10)</f>
        <v>0</v>
      </c>
      <c r="F10" s="8">
        <f>'13)其他业务收支预算表'!F10</f>
        <v>0</v>
      </c>
      <c r="G10" s="8">
        <f>'13)其他业务收支预算表'!G10</f>
        <v>0</v>
      </c>
      <c r="H10" s="8">
        <f>'13)其他业务收支预算表'!H10</f>
        <v>0</v>
      </c>
      <c r="I10" s="8">
        <f>'13)其他业务收支预算表'!I10</f>
        <v>0</v>
      </c>
      <c r="J10" s="14">
        <f t="shared" si="1"/>
        <v>0</v>
      </c>
      <c r="K10" s="4"/>
    </row>
    <row r="11" spans="1:11" ht="18" customHeight="1">
      <c r="A11" s="17" t="s">
        <v>897</v>
      </c>
      <c r="B11" s="15">
        <v>112642.3</v>
      </c>
      <c r="C11" s="15">
        <v>0</v>
      </c>
      <c r="D11" s="8">
        <f>B11+C11</f>
        <v>112642.3</v>
      </c>
      <c r="E11" s="8">
        <f>SUM(F11:I11)</f>
        <v>112708.91999999998</v>
      </c>
      <c r="F11" s="23">
        <f>'15)税金预算表'!F22+'15)税金预算表'!F27+'15)税金预算表'!F32+'15)税金预算表'!F42</f>
        <v>28115.189999999995</v>
      </c>
      <c r="G11" s="23">
        <f>'15)税金预算表'!G22+'15)税金预算表'!G27+'15)税金预算表'!G32+'15)税金预算表'!G42</f>
        <v>28363.34999999999</v>
      </c>
      <c r="H11" s="23">
        <f>'15)税金预算表'!H22+'15)税金预算表'!H27+'15)税金预算表'!H32+'15)税金预算表'!H42</f>
        <v>28115.189999999995</v>
      </c>
      <c r="I11" s="23">
        <f>'15)税金预算表'!I22+'15)税金预算表'!I27+'15)税金预算表'!I32+'15)税金预算表'!I42</f>
        <v>28115.189999999995</v>
      </c>
      <c r="J11" s="14">
        <f t="shared" si="1"/>
        <v>1.0005914296849405</v>
      </c>
      <c r="K11" s="4"/>
    </row>
    <row r="12" spans="1:11" ht="18" customHeight="1">
      <c r="A12" s="17" t="s">
        <v>898</v>
      </c>
      <c r="B12" s="8">
        <f>SUM(B13:B15)</f>
        <v>168663.89000000007</v>
      </c>
      <c r="C12" s="8">
        <f aca="true" t="shared" si="3" ref="C12:I12">SUM(C13:C15)</f>
        <v>11638.880000000005</v>
      </c>
      <c r="D12" s="8">
        <f t="shared" si="3"/>
        <v>180302.77000000002</v>
      </c>
      <c r="E12" s="8">
        <f t="shared" si="3"/>
        <v>550648.32</v>
      </c>
      <c r="F12" s="8">
        <f t="shared" si="3"/>
        <v>123352.07999999999</v>
      </c>
      <c r="G12" s="8">
        <f t="shared" si="3"/>
        <v>180032.08</v>
      </c>
      <c r="H12" s="8">
        <f t="shared" si="3"/>
        <v>124032.07999999999</v>
      </c>
      <c r="I12" s="8">
        <f t="shared" si="3"/>
        <v>123232.07999999999</v>
      </c>
      <c r="J12" s="14">
        <f t="shared" si="1"/>
        <v>3.0540203015183844</v>
      </c>
      <c r="K12" s="4"/>
    </row>
    <row r="13" spans="1:11" ht="18" customHeight="1">
      <c r="A13" s="17" t="s">
        <v>899</v>
      </c>
      <c r="B13" s="8">
        <f>'16)销售（经营）费用预算表'!B5</f>
        <v>0</v>
      </c>
      <c r="C13" s="8">
        <f>'16)销售（经营）费用预算表'!C5</f>
        <v>0</v>
      </c>
      <c r="D13" s="8">
        <f>B13+C13</f>
        <v>0</v>
      </c>
      <c r="E13" s="8">
        <f>SUM(F13:I13)</f>
        <v>0</v>
      </c>
      <c r="F13" s="8">
        <f>'16)销售（经营）费用预算表'!F5</f>
        <v>0</v>
      </c>
      <c r="G13" s="8">
        <f>'16)销售（经营）费用预算表'!G5</f>
        <v>0</v>
      </c>
      <c r="H13" s="8">
        <f>'16)销售（经营）费用预算表'!H5</f>
        <v>0</v>
      </c>
      <c r="I13" s="8">
        <f>'16)销售（经营）费用预算表'!I5</f>
        <v>0</v>
      </c>
      <c r="J13" s="14" t="e">
        <f t="shared" si="1"/>
        <v>#DIV/0!</v>
      </c>
      <c r="K13" s="4"/>
    </row>
    <row r="14" spans="1:11" ht="18" customHeight="1">
      <c r="A14" s="17" t="s">
        <v>900</v>
      </c>
      <c r="B14" s="8">
        <f>'17)管理费用预算表'!B5</f>
        <v>492772.06000000006</v>
      </c>
      <c r="C14" s="8">
        <f>'17)管理费用预算表'!C5</f>
        <v>142195.08</v>
      </c>
      <c r="D14" s="8">
        <f>B14+C14</f>
        <v>634967.14</v>
      </c>
      <c r="E14" s="8">
        <f>SUM(F14:I14)</f>
        <v>911641.9199999999</v>
      </c>
      <c r="F14" s="8">
        <f>'17)管理费用预算表'!F5</f>
        <v>213600.47999999998</v>
      </c>
      <c r="G14" s="8">
        <f>'17)管理费用预算表'!G5</f>
        <v>270280.48</v>
      </c>
      <c r="H14" s="8">
        <f>'17)管理费用预算表'!H5</f>
        <v>214280.47999999998</v>
      </c>
      <c r="I14" s="8">
        <f>'17)管理费用预算表'!I5</f>
        <v>213480.47999999998</v>
      </c>
      <c r="J14" s="14">
        <f t="shared" si="1"/>
        <v>1.4357308631750612</v>
      </c>
      <c r="K14" s="4"/>
    </row>
    <row r="15" spans="1:11" ht="18" customHeight="1">
      <c r="A15" s="17" t="s">
        <v>901</v>
      </c>
      <c r="B15" s="8">
        <f>'18)财务费用预算表'!B5</f>
        <v>-324108.17</v>
      </c>
      <c r="C15" s="8">
        <f>'18)财务费用预算表'!C5</f>
        <v>-130556.19999999998</v>
      </c>
      <c r="D15" s="8">
        <f>B15+C15</f>
        <v>-454664.37</v>
      </c>
      <c r="E15" s="8">
        <f>SUM(F15:I15)</f>
        <v>-360993.6</v>
      </c>
      <c r="F15" s="8">
        <f>'18)财务费用预算表'!F5</f>
        <v>-90248.4</v>
      </c>
      <c r="G15" s="8">
        <f>'18)财务费用预算表'!G5</f>
        <v>-90248.4</v>
      </c>
      <c r="H15" s="8">
        <f>'18)财务费用预算表'!H5</f>
        <v>-90248.4</v>
      </c>
      <c r="I15" s="8">
        <f>'18)财务费用预算表'!I5</f>
        <v>-90248.4</v>
      </c>
      <c r="J15" s="14">
        <f t="shared" si="1"/>
        <v>0.79397820418609</v>
      </c>
      <c r="K15" s="4"/>
    </row>
    <row r="16" spans="1:11" ht="18" customHeight="1">
      <c r="A16" s="17" t="s">
        <v>902</v>
      </c>
      <c r="B16" s="8">
        <f>B5-B8-B12-B11</f>
        <v>-4386670.629999999</v>
      </c>
      <c r="C16" s="8">
        <f>C5-C8-C12-C11</f>
        <v>1139781.6100000003</v>
      </c>
      <c r="D16" s="8">
        <f>D5-D8-D12-D11</f>
        <v>-3246889.020000001</v>
      </c>
      <c r="E16" s="8">
        <f>E5-E8-E11-E12</f>
        <v>-5580100.74</v>
      </c>
      <c r="F16" s="8">
        <f>F5-F8-F11-F12</f>
        <v>-2265653.15</v>
      </c>
      <c r="G16" s="8">
        <f>G5-G8-G11-G12</f>
        <v>-2322581.31</v>
      </c>
      <c r="H16" s="8">
        <f>H5-H8-H11-H12</f>
        <v>-1786333.15</v>
      </c>
      <c r="I16" s="8">
        <f>I5-I8-I11-I12</f>
        <v>794466.8700000002</v>
      </c>
      <c r="J16" s="14">
        <f t="shared" si="1"/>
        <v>1.7185991592653815</v>
      </c>
      <c r="K16" s="4"/>
    </row>
    <row r="17" spans="1:11" ht="18" customHeight="1">
      <c r="A17" s="17" t="s">
        <v>903</v>
      </c>
      <c r="B17" s="10"/>
      <c r="C17" s="10"/>
      <c r="D17" s="8">
        <f>B17+C17</f>
        <v>0</v>
      </c>
      <c r="E17" s="8">
        <f>SUM(F17:I17)</f>
        <v>0</v>
      </c>
      <c r="F17" s="10"/>
      <c r="G17" s="10"/>
      <c r="H17" s="10"/>
      <c r="I17" s="10"/>
      <c r="J17" s="14" t="e">
        <f t="shared" si="1"/>
        <v>#DIV/0!</v>
      </c>
      <c r="K17" s="4"/>
    </row>
    <row r="18" spans="1:11" ht="18" customHeight="1">
      <c r="A18" s="17" t="s">
        <v>904</v>
      </c>
      <c r="B18" s="10"/>
      <c r="C18" s="10"/>
      <c r="D18" s="8">
        <f>B18+C18</f>
        <v>0</v>
      </c>
      <c r="E18" s="8">
        <f>SUM(F18:I18)</f>
        <v>0</v>
      </c>
      <c r="F18" s="10"/>
      <c r="G18" s="10"/>
      <c r="H18" s="10"/>
      <c r="I18" s="10"/>
      <c r="J18" s="14" t="e">
        <f t="shared" si="1"/>
        <v>#DIV/0!</v>
      </c>
      <c r="K18" s="4"/>
    </row>
    <row r="19" spans="1:11" ht="18" customHeight="1">
      <c r="A19" s="17" t="s">
        <v>905</v>
      </c>
      <c r="B19" s="10"/>
      <c r="C19" s="10"/>
      <c r="D19" s="8">
        <f>B19+C19</f>
        <v>0</v>
      </c>
      <c r="E19" s="8">
        <f>SUM(F19:I19)</f>
        <v>0</v>
      </c>
      <c r="F19" s="15"/>
      <c r="G19" s="15"/>
      <c r="H19" s="15"/>
      <c r="I19" s="15"/>
      <c r="J19" s="14" t="e">
        <f t="shared" si="1"/>
        <v>#DIV/0!</v>
      </c>
      <c r="K19" s="4"/>
    </row>
    <row r="20" spans="1:11" ht="18" customHeight="1">
      <c r="A20" s="17" t="s">
        <v>906</v>
      </c>
      <c r="B20" s="8">
        <f>B16-B17+B18+B19</f>
        <v>-4386670.629999999</v>
      </c>
      <c r="C20" s="8">
        <f aca="true" t="shared" si="4" ref="C20:I20">C16-C17+C18+C19</f>
        <v>1139781.6100000003</v>
      </c>
      <c r="D20" s="8">
        <f t="shared" si="4"/>
        <v>-3246889.020000001</v>
      </c>
      <c r="E20" s="8">
        <f t="shared" si="4"/>
        <v>-5580100.74</v>
      </c>
      <c r="F20" s="8">
        <f t="shared" si="4"/>
        <v>-2265653.15</v>
      </c>
      <c r="G20" s="8">
        <f t="shared" si="4"/>
        <v>-2322581.31</v>
      </c>
      <c r="H20" s="8">
        <f t="shared" si="4"/>
        <v>-1786333.15</v>
      </c>
      <c r="I20" s="8">
        <f t="shared" si="4"/>
        <v>794466.8700000002</v>
      </c>
      <c r="J20" s="14">
        <f t="shared" si="1"/>
        <v>1.7185991592653815</v>
      </c>
      <c r="K20" s="4"/>
    </row>
    <row r="21" spans="1:11" ht="18" customHeight="1">
      <c r="A21" s="17" t="s">
        <v>907</v>
      </c>
      <c r="B21" s="8">
        <f>'14)营业外收支预算表'!B5</f>
        <v>9060831.4</v>
      </c>
      <c r="C21" s="8">
        <f>'14)营业外收支预算表'!C5</f>
        <v>-667568</v>
      </c>
      <c r="D21" s="8">
        <f>B21+C21</f>
        <v>8393263.4</v>
      </c>
      <c r="E21" s="8">
        <f>SUM(F21:I21)</f>
        <v>7220085.2</v>
      </c>
      <c r="F21" s="8">
        <f>'14)营业外收支预算表'!F5</f>
        <v>1615271.3</v>
      </c>
      <c r="G21" s="8">
        <f>'14)营业外收支预算表'!G5</f>
        <v>2012771.3</v>
      </c>
      <c r="H21" s="8">
        <f>'14)营业外收支预算表'!H5</f>
        <v>1502771.3</v>
      </c>
      <c r="I21" s="8">
        <f>'14)营业外收支预算表'!I5</f>
        <v>2089271.3</v>
      </c>
      <c r="J21" s="14">
        <f t="shared" si="1"/>
        <v>0.8602238314122251</v>
      </c>
      <c r="K21" s="4"/>
    </row>
    <row r="22" spans="1:11" ht="18" customHeight="1">
      <c r="A22" s="17" t="s">
        <v>908</v>
      </c>
      <c r="B22" s="8">
        <f>'14)营业外收支预算表'!B16</f>
        <v>4554224.06</v>
      </c>
      <c r="C22" s="8">
        <f>'14)营业外收支预算表'!C16</f>
        <v>346308.46</v>
      </c>
      <c r="D22" s="8">
        <f>B22+C22</f>
        <v>4900532.52</v>
      </c>
      <c r="E22" s="8">
        <f>SUM(F22:I22)</f>
        <v>1486485.2000000002</v>
      </c>
      <c r="F22" s="8">
        <f>'14)营业外收支预算表'!F16</f>
        <v>179371.3</v>
      </c>
      <c r="G22" s="8">
        <f>'14)营业外收支预算表'!G16</f>
        <v>576871.3</v>
      </c>
      <c r="H22" s="8">
        <f>'14)营业外收支预算表'!H16</f>
        <v>76871.3</v>
      </c>
      <c r="I22" s="8">
        <f>'14)营业外收支预算表'!I16</f>
        <v>653371.3</v>
      </c>
      <c r="J22" s="14">
        <f t="shared" si="1"/>
        <v>0.30333136122112714</v>
      </c>
      <c r="K22" s="4"/>
    </row>
    <row r="23" spans="1:11" ht="18" customHeight="1">
      <c r="A23" s="17" t="s">
        <v>909</v>
      </c>
      <c r="B23" s="8">
        <f>B20+B21-B22</f>
        <v>119936.71000000183</v>
      </c>
      <c r="C23" s="8">
        <f aca="true" t="shared" si="5" ref="C23:I23">C20+C21-C22</f>
        <v>125905.15000000031</v>
      </c>
      <c r="D23" s="8">
        <f t="shared" si="5"/>
        <v>245841.8599999994</v>
      </c>
      <c r="E23" s="8">
        <f t="shared" si="5"/>
        <v>153499.25999999978</v>
      </c>
      <c r="F23" s="8">
        <f t="shared" si="5"/>
        <v>-829753.1499999999</v>
      </c>
      <c r="G23" s="8">
        <f t="shared" si="5"/>
        <v>-886681.31</v>
      </c>
      <c r="H23" s="8">
        <f t="shared" si="5"/>
        <v>-360433.14999999985</v>
      </c>
      <c r="I23" s="8">
        <f t="shared" si="5"/>
        <v>2230366.87</v>
      </c>
      <c r="J23" s="14">
        <f t="shared" si="1"/>
        <v>0.6243821129566793</v>
      </c>
      <c r="K23" s="4"/>
    </row>
    <row r="24" spans="1:11" ht="18" customHeight="1">
      <c r="A24" s="17" t="s">
        <v>910</v>
      </c>
      <c r="B24" s="10"/>
      <c r="C24" s="10"/>
      <c r="D24" s="8">
        <f>B24+C24</f>
        <v>0</v>
      </c>
      <c r="E24" s="8">
        <f>SUM(F24:I24)</f>
        <v>0</v>
      </c>
      <c r="F24" s="15">
        <v>0</v>
      </c>
      <c r="G24" s="15">
        <v>0</v>
      </c>
      <c r="H24" s="15">
        <v>0</v>
      </c>
      <c r="I24" s="15">
        <v>0</v>
      </c>
      <c r="J24" s="14" t="e">
        <f t="shared" si="1"/>
        <v>#DIV/0!</v>
      </c>
      <c r="K24" s="4"/>
    </row>
    <row r="25" spans="1:11" ht="18" customHeight="1">
      <c r="A25" s="17" t="s">
        <v>911</v>
      </c>
      <c r="B25" s="8">
        <f>B23-B24</f>
        <v>119936.71000000183</v>
      </c>
      <c r="C25" s="8">
        <f aca="true" t="shared" si="6" ref="C25:I25">C23-C24</f>
        <v>125905.15000000031</v>
      </c>
      <c r="D25" s="8">
        <f t="shared" si="6"/>
        <v>245841.8599999994</v>
      </c>
      <c r="E25" s="8">
        <f t="shared" si="6"/>
        <v>153499.25999999978</v>
      </c>
      <c r="F25" s="8">
        <f t="shared" si="6"/>
        <v>-829753.1499999999</v>
      </c>
      <c r="G25" s="8">
        <f t="shared" si="6"/>
        <v>-886681.31</v>
      </c>
      <c r="H25" s="8">
        <f t="shared" si="6"/>
        <v>-360433.14999999985</v>
      </c>
      <c r="I25" s="8">
        <f t="shared" si="6"/>
        <v>2230366.87</v>
      </c>
      <c r="J25" s="14">
        <f t="shared" si="1"/>
        <v>0.6243821129566793</v>
      </c>
      <c r="K25" s="4"/>
    </row>
    <row r="26" spans="1:11" ht="18" customHeight="1">
      <c r="A26" s="17" t="s">
        <v>912</v>
      </c>
      <c r="B26" s="10"/>
      <c r="C26" s="10"/>
      <c r="D26" s="8">
        <f>B26+C26</f>
        <v>0</v>
      </c>
      <c r="E26" s="8">
        <f>SUM(F26:I26)</f>
        <v>0</v>
      </c>
      <c r="F26" s="10"/>
      <c r="G26" s="10"/>
      <c r="H26" s="10"/>
      <c r="I26" s="10"/>
      <c r="J26" s="14" t="e">
        <f t="shared" si="1"/>
        <v>#DIV/0!</v>
      </c>
      <c r="K26" s="4"/>
    </row>
    <row r="27" spans="1:11" ht="18" customHeight="1">
      <c r="A27" s="17" t="s">
        <v>913</v>
      </c>
      <c r="B27" s="10"/>
      <c r="C27" s="10"/>
      <c r="D27" s="8">
        <f>B27+C27</f>
        <v>0</v>
      </c>
      <c r="E27" s="8">
        <f>SUM(F27:I27)</f>
        <v>0</v>
      </c>
      <c r="F27" s="10"/>
      <c r="G27" s="10"/>
      <c r="H27" s="10"/>
      <c r="I27" s="10"/>
      <c r="J27" s="14" t="e">
        <f t="shared" si="1"/>
        <v>#DIV/0!</v>
      </c>
      <c r="K27" s="4"/>
    </row>
    <row r="28" spans="1:11" ht="18" customHeight="1">
      <c r="A28" s="17" t="s">
        <v>914</v>
      </c>
      <c r="B28" s="10"/>
      <c r="C28" s="10"/>
      <c r="D28" s="8">
        <f>B28+C28</f>
        <v>0</v>
      </c>
      <c r="E28" s="8">
        <f>SUM(F28:I28)</f>
        <v>0</v>
      </c>
      <c r="F28" s="10"/>
      <c r="G28" s="10"/>
      <c r="H28" s="10"/>
      <c r="I28" s="10"/>
      <c r="J28" s="14" t="e">
        <f t="shared" si="1"/>
        <v>#DIV/0!</v>
      </c>
      <c r="K28" s="4"/>
    </row>
    <row r="29" spans="1:11" ht="18" customHeight="1">
      <c r="A29" s="17" t="s">
        <v>915</v>
      </c>
      <c r="B29" s="10"/>
      <c r="C29" s="10"/>
      <c r="D29" s="8">
        <f>B29+C29</f>
        <v>0</v>
      </c>
      <c r="E29" s="8">
        <f>SUM(F29:I29)</f>
        <v>0</v>
      </c>
      <c r="F29" s="10"/>
      <c r="G29" s="10"/>
      <c r="H29" s="10"/>
      <c r="I29" s="10"/>
      <c r="J29" s="14" t="e">
        <f t="shared" si="1"/>
        <v>#DIV/0!</v>
      </c>
      <c r="K29" s="4"/>
    </row>
    <row r="30" spans="1:17" ht="18" customHeight="1">
      <c r="A30" s="17" t="s">
        <v>916</v>
      </c>
      <c r="B30" s="8">
        <f>B25-B26-B27-B28-B29</f>
        <v>119936.71000000183</v>
      </c>
      <c r="C30" s="8">
        <f aca="true" t="shared" si="7" ref="C30:I30">C25-C26-C27-C28-C29</f>
        <v>125905.15000000031</v>
      </c>
      <c r="D30" s="8">
        <f t="shared" si="7"/>
        <v>245841.8599999994</v>
      </c>
      <c r="E30" s="8">
        <f t="shared" si="7"/>
        <v>153499.25999999978</v>
      </c>
      <c r="F30" s="8">
        <f t="shared" si="7"/>
        <v>-829753.1499999999</v>
      </c>
      <c r="G30" s="8">
        <f t="shared" si="7"/>
        <v>-886681.31</v>
      </c>
      <c r="H30" s="8">
        <f t="shared" si="7"/>
        <v>-360433.14999999985</v>
      </c>
      <c r="I30" s="8">
        <f t="shared" si="7"/>
        <v>2230366.87</v>
      </c>
      <c r="J30" s="14">
        <f t="shared" si="1"/>
        <v>0.6243821129566793</v>
      </c>
      <c r="K30" s="4"/>
      <c r="Q30" s="26"/>
    </row>
    <row r="31" spans="1:11" ht="18" customHeight="1">
      <c r="A31" s="4"/>
      <c r="B31" s="11"/>
      <c r="C31" s="12" t="s">
        <v>310</v>
      </c>
      <c r="D31" s="4"/>
      <c r="E31" s="4"/>
      <c r="F31" s="11"/>
      <c r="G31" s="21" t="s">
        <v>328</v>
      </c>
      <c r="H31" s="4"/>
      <c r="I31" s="4"/>
      <c r="J31" s="4"/>
      <c r="K31" s="4"/>
    </row>
    <row r="35" ht="12.75">
      <c r="E35" s="25"/>
    </row>
  </sheetData>
  <sheetProtection/>
  <mergeCells count="7">
    <mergeCell ref="A1:K1"/>
    <mergeCell ref="B2:D2"/>
    <mergeCell ref="B3:D3"/>
    <mergeCell ref="E3:I3"/>
    <mergeCell ref="A3:A4"/>
    <mergeCell ref="J3:J4"/>
    <mergeCell ref="K3:K4"/>
  </mergeCells>
  <printOptions/>
  <pageMargins left="0.75" right="0.75" top="0.49" bottom="0.52" header="0.31" footer="0.51"/>
  <pageSetup fitToHeight="1" fitToWidth="1" horizontalDpi="300" verticalDpi="300" orientation="landscape" paperSize="9" scale="95"/>
</worksheet>
</file>

<file path=xl/worksheets/sheet23.xml><?xml version="1.0" encoding="utf-8"?>
<worksheet xmlns="http://schemas.openxmlformats.org/spreadsheetml/2006/main" xmlns:r="http://schemas.openxmlformats.org/officeDocument/2006/relationships">
  <dimension ref="A1:E27"/>
  <sheetViews>
    <sheetView workbookViewId="0" topLeftCell="A1">
      <selection activeCell="B8" sqref="B8"/>
    </sheetView>
  </sheetViews>
  <sheetFormatPr defaultColWidth="9.140625" defaultRowHeight="12.75"/>
  <cols>
    <col min="1" max="1" width="34.8515625" style="0" customWidth="1"/>
    <col min="2" max="4" width="17.7109375" style="0" customWidth="1"/>
    <col min="5" max="5" width="53.28125" style="0" customWidth="1"/>
  </cols>
  <sheetData>
    <row r="1" spans="1:5" ht="33" customHeight="1">
      <c r="A1" s="16" t="s">
        <v>917</v>
      </c>
      <c r="B1" s="16" t="s">
        <v>917</v>
      </c>
      <c r="C1" s="16" t="s">
        <v>917</v>
      </c>
      <c r="D1" s="16" t="s">
        <v>917</v>
      </c>
      <c r="E1" s="16" t="s">
        <v>917</v>
      </c>
    </row>
    <row r="2" spans="1:5" ht="18" customHeight="1">
      <c r="A2" s="4" t="s">
        <v>272</v>
      </c>
      <c r="B2" s="3"/>
      <c r="C2" s="3"/>
      <c r="D2" s="3"/>
      <c r="E2" s="4"/>
    </row>
    <row r="3" spans="1:5" ht="18" customHeight="1">
      <c r="A3" s="13"/>
      <c r="B3" s="21"/>
      <c r="C3" s="22" t="s">
        <v>273</v>
      </c>
      <c r="D3" s="11"/>
      <c r="E3" s="11" t="s">
        <v>1</v>
      </c>
    </row>
    <row r="4" spans="1:5" ht="18" customHeight="1">
      <c r="A4" s="13" t="s">
        <v>276</v>
      </c>
      <c r="B4" s="6" t="s">
        <v>314</v>
      </c>
      <c r="C4" s="6" t="s">
        <v>278</v>
      </c>
      <c r="D4" s="5" t="s">
        <v>918</v>
      </c>
      <c r="E4" s="13" t="s">
        <v>36</v>
      </c>
    </row>
    <row r="5" spans="1:5" ht="18" customHeight="1">
      <c r="A5" s="13" t="s">
        <v>276</v>
      </c>
      <c r="B5" s="6" t="s">
        <v>427</v>
      </c>
      <c r="C5" s="6" t="s">
        <v>296</v>
      </c>
      <c r="D5" s="5" t="s">
        <v>918</v>
      </c>
      <c r="E5" s="13" t="s">
        <v>36</v>
      </c>
    </row>
    <row r="6" spans="1:5" ht="19.5" customHeight="1">
      <c r="A6" s="17" t="s">
        <v>919</v>
      </c>
      <c r="B6" s="8">
        <f>'21)利润预算表'!D25</f>
        <v>245841.8599999994</v>
      </c>
      <c r="C6" s="23">
        <f>'21)利润预算表'!E30</f>
        <v>153499.25999999978</v>
      </c>
      <c r="D6" s="4"/>
      <c r="E6" s="4"/>
    </row>
    <row r="7" spans="1:5" ht="19.5" customHeight="1">
      <c r="A7" s="17" t="s">
        <v>920</v>
      </c>
      <c r="B7" s="8">
        <f>'20)资产负债预算表（二'!E36</f>
        <v>-52718767.451</v>
      </c>
      <c r="C7" s="23">
        <f>B19</f>
        <v>-52472925.591</v>
      </c>
      <c r="D7" s="4"/>
      <c r="E7" s="4"/>
    </row>
    <row r="8" spans="1:5" ht="19.5" customHeight="1">
      <c r="A8" s="17" t="s">
        <v>921</v>
      </c>
      <c r="B8" s="10"/>
      <c r="C8" s="10"/>
      <c r="D8" s="4"/>
      <c r="E8" s="4"/>
    </row>
    <row r="9" spans="1:5" ht="19.5" customHeight="1">
      <c r="A9" s="17" t="s">
        <v>922</v>
      </c>
      <c r="B9" s="15"/>
      <c r="C9" s="15"/>
      <c r="D9" s="4"/>
      <c r="E9" s="4"/>
    </row>
    <row r="10" spans="1:5" ht="19.5" customHeight="1">
      <c r="A10" s="17" t="s">
        <v>923</v>
      </c>
      <c r="B10" s="8">
        <f>B6+B7+B8+B9</f>
        <v>-52472925.591</v>
      </c>
      <c r="C10" s="8">
        <f>C6+C7+C8+C9</f>
        <v>-52319426.331</v>
      </c>
      <c r="D10" s="4"/>
      <c r="E10" s="4"/>
    </row>
    <row r="11" spans="1:5" ht="19.5" customHeight="1">
      <c r="A11" s="17" t="s">
        <v>924</v>
      </c>
      <c r="B11" s="10"/>
      <c r="C11" s="10"/>
      <c r="D11" s="4"/>
      <c r="E11" s="4"/>
    </row>
    <row r="12" spans="1:5" ht="19.5" customHeight="1">
      <c r="A12" s="17" t="s">
        <v>925</v>
      </c>
      <c r="B12" s="10"/>
      <c r="C12" s="10"/>
      <c r="D12" s="4"/>
      <c r="E12" s="4"/>
    </row>
    <row r="13" spans="1:5" ht="19.5" customHeight="1">
      <c r="A13" s="17" t="s">
        <v>926</v>
      </c>
      <c r="B13" s="10"/>
      <c r="C13" s="10"/>
      <c r="D13" s="4"/>
      <c r="E13" s="4"/>
    </row>
    <row r="14" spans="1:5" ht="19.5" customHeight="1">
      <c r="A14" s="17" t="s">
        <v>927</v>
      </c>
      <c r="B14" s="8">
        <f>B10-B11-B12-B13</f>
        <v>-52472925.591</v>
      </c>
      <c r="C14" s="8">
        <f>C10-C11-C12-C13</f>
        <v>-52319426.331</v>
      </c>
      <c r="D14" s="4"/>
      <c r="E14" s="4"/>
    </row>
    <row r="15" spans="1:5" ht="19.5" customHeight="1">
      <c r="A15" s="17" t="s">
        <v>928</v>
      </c>
      <c r="B15" s="10"/>
      <c r="C15" s="10"/>
      <c r="D15" s="4"/>
      <c r="E15" s="4"/>
    </row>
    <row r="16" spans="1:5" ht="19.5" customHeight="1">
      <c r="A16" s="17" t="s">
        <v>929</v>
      </c>
      <c r="B16" s="10"/>
      <c r="C16" s="10"/>
      <c r="D16" s="4"/>
      <c r="E16" s="4"/>
    </row>
    <row r="17" spans="1:5" ht="19.5" customHeight="1">
      <c r="A17" s="17" t="s">
        <v>930</v>
      </c>
      <c r="B17" s="10"/>
      <c r="C17" s="10"/>
      <c r="D17" s="4"/>
      <c r="E17" s="4"/>
    </row>
    <row r="18" spans="1:5" ht="19.5" customHeight="1">
      <c r="A18" s="17" t="s">
        <v>931</v>
      </c>
      <c r="B18" s="10"/>
      <c r="C18" s="10"/>
      <c r="D18" s="4"/>
      <c r="E18" s="4"/>
    </row>
    <row r="19" spans="1:5" ht="19.5" customHeight="1">
      <c r="A19" s="17" t="s">
        <v>932</v>
      </c>
      <c r="B19" s="23">
        <f>B14-B15-B16-B17-B18</f>
        <v>-52472925.591</v>
      </c>
      <c r="C19" s="23">
        <f>C14-C15-C16-C17-C18</f>
        <v>-52319426.331</v>
      </c>
      <c r="D19" s="4"/>
      <c r="E19" s="4"/>
    </row>
    <row r="20" spans="1:5" ht="19.5" customHeight="1">
      <c r="A20" s="17" t="s">
        <v>933</v>
      </c>
      <c r="B20" s="24">
        <v>1</v>
      </c>
      <c r="C20" s="24">
        <v>1</v>
      </c>
      <c r="D20" s="4"/>
      <c r="E20" s="4"/>
    </row>
    <row r="21" spans="1:5" ht="18" customHeight="1">
      <c r="A21" s="4"/>
      <c r="B21" s="4"/>
      <c r="C21" s="4"/>
      <c r="D21" s="4"/>
      <c r="E21" s="4"/>
    </row>
    <row r="22" spans="1:5" ht="18" customHeight="1">
      <c r="A22" s="11"/>
      <c r="B22" s="12" t="s">
        <v>310</v>
      </c>
      <c r="C22" s="4"/>
      <c r="D22" s="11"/>
      <c r="E22" s="12" t="s">
        <v>328</v>
      </c>
    </row>
    <row r="23" spans="1:5" ht="18" customHeight="1">
      <c r="A23" s="4"/>
      <c r="B23" s="4"/>
      <c r="C23" s="4"/>
      <c r="D23" s="4"/>
      <c r="E23" s="4"/>
    </row>
    <row r="24" spans="1:5" ht="18" customHeight="1">
      <c r="A24" s="4"/>
      <c r="B24" s="4"/>
      <c r="C24" s="4"/>
      <c r="D24" s="4"/>
      <c r="E24" s="4"/>
    </row>
    <row r="25" spans="1:5" ht="18" customHeight="1">
      <c r="A25" s="4"/>
      <c r="B25" s="4"/>
      <c r="C25" s="4"/>
      <c r="D25" s="4"/>
      <c r="E25" s="4"/>
    </row>
    <row r="26" spans="1:5" ht="18" customHeight="1">
      <c r="A26" s="4"/>
      <c r="B26" s="4"/>
      <c r="C26" s="4"/>
      <c r="D26" s="4"/>
      <c r="E26" s="4"/>
    </row>
    <row r="27" spans="1:5" ht="18" customHeight="1">
      <c r="A27" s="4"/>
      <c r="B27" s="4"/>
      <c r="C27" s="4"/>
      <c r="D27" s="4"/>
      <c r="E27" s="4"/>
    </row>
  </sheetData>
  <sheetProtection/>
  <mergeCells count="5">
    <mergeCell ref="A1:E1"/>
    <mergeCell ref="B2:D2"/>
    <mergeCell ref="A4:A5"/>
    <mergeCell ref="D4:D5"/>
    <mergeCell ref="E4:E5"/>
  </mergeCells>
  <printOptions/>
  <pageMargins left="0.75" right="0.75" top="1" bottom="1" header="0.5" footer="0.5"/>
  <pageSetup horizontalDpi="300" verticalDpi="300" orientation="portrait" paperSize="9"/>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K47"/>
  <sheetViews>
    <sheetView workbookViewId="0" topLeftCell="A23">
      <pane xSplit="1" topLeftCell="B1" activePane="topRight" state="frozen"/>
      <selection pane="topRight" activeCell="F15" sqref="F15"/>
    </sheetView>
  </sheetViews>
  <sheetFormatPr defaultColWidth="9.140625" defaultRowHeight="12.75"/>
  <cols>
    <col min="1" max="1" width="40.8515625" style="0" customWidth="1"/>
    <col min="2" max="3" width="16.7109375" style="0" customWidth="1"/>
    <col min="4" max="4" width="16.8515625" style="0" customWidth="1"/>
    <col min="5" max="9" width="14.140625" style="0" customWidth="1"/>
    <col min="10" max="10" width="8.7109375" style="0" customWidth="1"/>
    <col min="11" max="11" width="7.421875" style="0" customWidth="1"/>
  </cols>
  <sheetData>
    <row r="1" spans="1:11" ht="24.75" customHeight="1">
      <c r="A1" s="1" t="s">
        <v>934</v>
      </c>
      <c r="B1" s="1" t="s">
        <v>934</v>
      </c>
      <c r="C1" s="1" t="s">
        <v>934</v>
      </c>
      <c r="D1" s="1" t="s">
        <v>934</v>
      </c>
      <c r="E1" s="1" t="s">
        <v>934</v>
      </c>
      <c r="F1" s="1" t="s">
        <v>934</v>
      </c>
      <c r="G1" s="1" t="s">
        <v>934</v>
      </c>
      <c r="H1" s="1" t="s">
        <v>934</v>
      </c>
      <c r="I1" s="1" t="s">
        <v>934</v>
      </c>
      <c r="J1" s="1" t="s">
        <v>934</v>
      </c>
      <c r="K1" s="1" t="s">
        <v>934</v>
      </c>
    </row>
    <row r="2" spans="1:11" ht="18" customHeight="1">
      <c r="A2" s="2" t="s">
        <v>272</v>
      </c>
      <c r="B2" s="3"/>
      <c r="C2" s="3"/>
      <c r="D2" s="3"/>
      <c r="E2" s="4" t="s">
        <v>273</v>
      </c>
      <c r="F2" s="4"/>
      <c r="G2" s="4"/>
      <c r="H2" s="4"/>
      <c r="I2" s="4"/>
      <c r="J2" s="11" t="s">
        <v>1</v>
      </c>
      <c r="K2" s="4"/>
    </row>
    <row r="3" spans="1:11" ht="18.75" customHeight="1">
      <c r="A3" s="5" t="s">
        <v>276</v>
      </c>
      <c r="B3" s="6" t="s">
        <v>314</v>
      </c>
      <c r="C3" s="6" t="s">
        <v>314</v>
      </c>
      <c r="D3" s="6" t="s">
        <v>314</v>
      </c>
      <c r="E3" s="6" t="s">
        <v>278</v>
      </c>
      <c r="F3" s="6" t="s">
        <v>278</v>
      </c>
      <c r="G3" s="6" t="s">
        <v>278</v>
      </c>
      <c r="H3" s="6" t="s">
        <v>278</v>
      </c>
      <c r="I3" s="6" t="s">
        <v>278</v>
      </c>
      <c r="J3" s="6" t="s">
        <v>279</v>
      </c>
      <c r="K3" s="13" t="s">
        <v>36</v>
      </c>
    </row>
    <row r="4" spans="1:11" ht="18" customHeight="1">
      <c r="A4" s="5" t="s">
        <v>276</v>
      </c>
      <c r="B4" s="6" t="s">
        <v>280</v>
      </c>
      <c r="C4" s="6" t="s">
        <v>281</v>
      </c>
      <c r="D4" s="6" t="s">
        <v>427</v>
      </c>
      <c r="E4" s="6" t="s">
        <v>296</v>
      </c>
      <c r="F4" s="6" t="s">
        <v>306</v>
      </c>
      <c r="G4" s="6" t="s">
        <v>307</v>
      </c>
      <c r="H4" s="6" t="s">
        <v>308</v>
      </c>
      <c r="I4" s="6" t="s">
        <v>309</v>
      </c>
      <c r="J4" s="6" t="s">
        <v>279</v>
      </c>
      <c r="K4" s="13" t="s">
        <v>36</v>
      </c>
    </row>
    <row r="5" spans="1:11" ht="19.5" customHeight="1">
      <c r="A5" s="19" t="s">
        <v>935</v>
      </c>
      <c r="B5" s="8">
        <f>'19)资产负债预算表（一）'!C6</f>
        <v>44835782.44</v>
      </c>
      <c r="C5" s="8">
        <f>B46</f>
        <v>45632829.20999999</v>
      </c>
      <c r="D5" s="8">
        <f>B5</f>
        <v>44835782.44</v>
      </c>
      <c r="E5" s="8">
        <f>D46</f>
        <v>43877741.58</v>
      </c>
      <c r="F5" s="8">
        <f>D46</f>
        <v>43877741.58</v>
      </c>
      <c r="G5" s="8">
        <f>F46</f>
        <v>43974067.23</v>
      </c>
      <c r="H5" s="8">
        <f>G46</f>
        <v>43361983.12</v>
      </c>
      <c r="I5" s="8">
        <f>H46</f>
        <v>43332628.769999996</v>
      </c>
      <c r="J5" s="8">
        <v>-0.96</v>
      </c>
      <c r="K5" s="4"/>
    </row>
    <row r="6" spans="1:11" ht="19.5" customHeight="1">
      <c r="A6" s="19" t="s">
        <v>936</v>
      </c>
      <c r="B6" s="15">
        <v>1564.69</v>
      </c>
      <c r="C6" s="15">
        <v>2064.56</v>
      </c>
      <c r="D6" s="20">
        <v>1564.69</v>
      </c>
      <c r="E6" s="20">
        <f>F6</f>
        <v>2068.85</v>
      </c>
      <c r="F6" s="15">
        <v>2068.85</v>
      </c>
      <c r="G6" s="15">
        <v>2113.57</v>
      </c>
      <c r="H6" s="15">
        <v>2308.95</v>
      </c>
      <c r="I6" s="15">
        <v>3423.24</v>
      </c>
      <c r="J6" s="8">
        <v>-0.94</v>
      </c>
      <c r="K6" s="4"/>
    </row>
    <row r="7" spans="1:11" ht="19.5" customHeight="1">
      <c r="A7" s="19" t="s">
        <v>937</v>
      </c>
      <c r="B7" s="15">
        <v>186312.34</v>
      </c>
      <c r="C7" s="15">
        <v>195744.14</v>
      </c>
      <c r="D7" s="20">
        <v>186312.34</v>
      </c>
      <c r="E7" s="20">
        <f aca="true" t="shared" si="0" ref="E7:E12">F7</f>
        <v>195894.29</v>
      </c>
      <c r="F7" s="15">
        <v>195894.29</v>
      </c>
      <c r="G7" s="15">
        <v>196044.44</v>
      </c>
      <c r="H7" s="15">
        <v>196194.59</v>
      </c>
      <c r="I7" s="15">
        <v>196344.74</v>
      </c>
      <c r="J7" s="9"/>
      <c r="K7" s="4"/>
    </row>
    <row r="8" spans="1:11" ht="19.5" customHeight="1">
      <c r="A8" s="19" t="s">
        <v>938</v>
      </c>
      <c r="B8" s="15">
        <v>2238241.82</v>
      </c>
      <c r="C8" s="15">
        <v>2244388.3</v>
      </c>
      <c r="D8" s="20">
        <v>2238241.82</v>
      </c>
      <c r="E8" s="20">
        <f t="shared" si="0"/>
        <v>2246393.9899999998</v>
      </c>
      <c r="F8" s="15">
        <v>2246393.9899999998</v>
      </c>
      <c r="G8" s="15">
        <v>2248399.6799999997</v>
      </c>
      <c r="H8" s="15">
        <v>2250405.3699999996</v>
      </c>
      <c r="I8" s="15">
        <v>2252411.0599999996</v>
      </c>
      <c r="J8" s="9"/>
      <c r="K8" s="4"/>
    </row>
    <row r="9" spans="1:11" ht="19.5" customHeight="1">
      <c r="A9" s="19" t="s">
        <v>939</v>
      </c>
      <c r="B9" s="15">
        <v>17852756.91</v>
      </c>
      <c r="C9" s="15">
        <f>C5-C6-C7-C10-C11</f>
        <v>17421408.98999999</v>
      </c>
      <c r="D9" s="20">
        <v>17852756.91</v>
      </c>
      <c r="E9" s="20">
        <f t="shared" si="0"/>
        <v>13393151.32</v>
      </c>
      <c r="F9" s="15">
        <f>F5-F10-F8-F7-F6</f>
        <v>13393151.32</v>
      </c>
      <c r="G9" s="15">
        <f>G5-G10-G8-G7-G6</f>
        <v>13460654.799999999</v>
      </c>
      <c r="H9" s="15">
        <f>H5-H10-H8-H7-H6</f>
        <v>12819597.860000001</v>
      </c>
      <c r="I9" s="15">
        <f>I5-I10-I8-I7-I6</f>
        <v>12760351.77</v>
      </c>
      <c r="J9" s="9"/>
      <c r="K9" s="4"/>
    </row>
    <row r="10" spans="1:11" ht="19.5" customHeight="1">
      <c r="A10" s="19" t="s">
        <v>940</v>
      </c>
      <c r="B10" s="15">
        <v>24556906.68</v>
      </c>
      <c r="C10" s="15">
        <v>28013611.52</v>
      </c>
      <c r="D10" s="20">
        <v>24556906.68</v>
      </c>
      <c r="E10" s="20">
        <f t="shared" si="0"/>
        <v>28040233.13</v>
      </c>
      <c r="F10" s="15">
        <v>28040233.13</v>
      </c>
      <c r="G10" s="15">
        <v>28066854.74</v>
      </c>
      <c r="H10" s="15">
        <v>28093476.349999998</v>
      </c>
      <c r="I10" s="15">
        <v>28120097.959999997</v>
      </c>
      <c r="J10" s="8">
        <v>-0.96</v>
      </c>
      <c r="K10" s="4"/>
    </row>
    <row r="11" spans="1:11" ht="19.5" customHeight="1">
      <c r="A11" s="19" t="s">
        <v>941</v>
      </c>
      <c r="B11" s="15"/>
      <c r="C11" s="15"/>
      <c r="D11" s="20"/>
      <c r="E11" s="20">
        <f t="shared" si="0"/>
        <v>0</v>
      </c>
      <c r="F11" s="15"/>
      <c r="G11" s="15"/>
      <c r="H11" s="15"/>
      <c r="I11" s="15" t="s">
        <v>756</v>
      </c>
      <c r="J11" s="9"/>
      <c r="K11" s="4"/>
    </row>
    <row r="12" spans="1:11" ht="19.5" customHeight="1">
      <c r="A12" s="19" t="s">
        <v>942</v>
      </c>
      <c r="B12" s="15"/>
      <c r="C12" s="15"/>
      <c r="D12" s="20"/>
      <c r="E12" s="20">
        <f t="shared" si="0"/>
        <v>0</v>
      </c>
      <c r="F12" s="15"/>
      <c r="G12" s="10"/>
      <c r="H12" s="10"/>
      <c r="I12" s="10"/>
      <c r="J12" s="9"/>
      <c r="K12" s="4"/>
    </row>
    <row r="13" spans="1:11" ht="19.5" customHeight="1">
      <c r="A13" s="19" t="s">
        <v>943</v>
      </c>
      <c r="B13" s="8">
        <f>'24)经营活动现金流量预算'!B5</f>
        <v>3249100.8599999975</v>
      </c>
      <c r="C13" s="8">
        <f>'24)经营活动现金流量预算'!C5</f>
        <v>-1014741.54</v>
      </c>
      <c r="D13" s="8">
        <f aca="true" t="shared" si="1" ref="D13:D43">B13+C13</f>
        <v>2234359.3199999975</v>
      </c>
      <c r="E13" s="8">
        <f>SUM(F13:I13)</f>
        <v>3200832.8600000017</v>
      </c>
      <c r="F13" s="8">
        <f>'24)经营活动现金流量预算'!F5</f>
        <v>136325.65000000037</v>
      </c>
      <c r="G13" s="8">
        <f>'24)经营活动现金流量预算'!G5</f>
        <v>-262084.10999999987</v>
      </c>
      <c r="H13" s="8">
        <f>'24)经营活动现金流量预算'!H5</f>
        <v>730645.6500000004</v>
      </c>
      <c r="I13" s="8">
        <f>'24)经营活动现金流量预算'!I5</f>
        <v>2595945.670000001</v>
      </c>
      <c r="J13" s="8">
        <v>-0.99</v>
      </c>
      <c r="K13" s="4"/>
    </row>
    <row r="14" spans="1:11" ht="19.5" customHeight="1">
      <c r="A14" s="19" t="s">
        <v>944</v>
      </c>
      <c r="B14" s="8">
        <f>'24)经营活动现金流量预算'!B6</f>
        <v>13418482.87</v>
      </c>
      <c r="C14" s="8">
        <f>'24)经营活动现金流量预算'!C6</f>
        <v>4766257.72</v>
      </c>
      <c r="D14" s="8">
        <f t="shared" si="1"/>
        <v>18184740.59</v>
      </c>
      <c r="E14" s="8">
        <f aca="true" t="shared" si="2" ref="E13:E43">SUM(F14:I14)</f>
        <v>17986945.6</v>
      </c>
      <c r="F14" s="8">
        <f>'24)经营活动现金流量预算'!F6</f>
        <v>3644236.4</v>
      </c>
      <c r="G14" s="8">
        <f>'24)经营活动现金流量预算'!G6</f>
        <v>3644236.4</v>
      </c>
      <c r="H14" s="8">
        <f>'24)经营活动现金流量预算'!H6</f>
        <v>4124236.4</v>
      </c>
      <c r="I14" s="8">
        <f>'24)经营活动现金流量预算'!I6</f>
        <v>6574236.4</v>
      </c>
      <c r="J14" s="8">
        <v>0.3</v>
      </c>
      <c r="K14" s="4"/>
    </row>
    <row r="15" spans="1:11" ht="19.5" customHeight="1">
      <c r="A15" s="19" t="s">
        <v>945</v>
      </c>
      <c r="B15" s="8">
        <f>'24)经营活动现金流量预算'!B7</f>
        <v>3588090.9</v>
      </c>
      <c r="C15" s="8">
        <f>'24)经营活动现金流量预算'!C7</f>
        <v>802492.5</v>
      </c>
      <c r="D15" s="8">
        <f t="shared" si="1"/>
        <v>4390583.4</v>
      </c>
      <c r="E15" s="8">
        <f t="shared" si="2"/>
        <v>8149552</v>
      </c>
      <c r="F15" s="8">
        <f>'24)经营活动现金流量预算'!F7</f>
        <v>1152388</v>
      </c>
      <c r="G15" s="8">
        <f>'24)经营活动现金流量预算'!G7</f>
        <v>1152388</v>
      </c>
      <c r="H15" s="8">
        <f>'24)经营活动现金流量预算'!H7</f>
        <v>1632388</v>
      </c>
      <c r="I15" s="8">
        <f>'24)经营活动现金流量预算'!I7</f>
        <v>4212388</v>
      </c>
      <c r="J15" s="8">
        <v>-1</v>
      </c>
      <c r="K15" s="4"/>
    </row>
    <row r="16" spans="1:11" ht="19.5" customHeight="1">
      <c r="A16" s="19" t="s">
        <v>946</v>
      </c>
      <c r="B16" s="8">
        <f>'24)经营活动现金流量预算'!B8</f>
        <v>0</v>
      </c>
      <c r="C16" s="8">
        <f>'24)经营活动现金流量预算'!C8</f>
        <v>0</v>
      </c>
      <c r="D16" s="8">
        <f t="shared" si="1"/>
        <v>0</v>
      </c>
      <c r="E16" s="8">
        <f t="shared" si="2"/>
        <v>0</v>
      </c>
      <c r="F16" s="8">
        <f>'24)经营活动现金流量预算'!F8</f>
        <v>0</v>
      </c>
      <c r="G16" s="8">
        <f>'24)经营活动现金流量预算'!G8</f>
        <v>0</v>
      </c>
      <c r="H16" s="8">
        <f>'24)经营活动现金流量预算'!H8</f>
        <v>0</v>
      </c>
      <c r="I16" s="8">
        <f>'24)经营活动现金流量预算'!I8</f>
        <v>0</v>
      </c>
      <c r="J16" s="9"/>
      <c r="K16" s="4"/>
    </row>
    <row r="17" spans="1:11" ht="19.5" customHeight="1">
      <c r="A17" s="19" t="s">
        <v>947</v>
      </c>
      <c r="B17" s="8">
        <f>'24)经营活动现金流量预算'!B9</f>
        <v>9830391.969999999</v>
      </c>
      <c r="C17" s="8">
        <f>'24)经营活动现金流量预算'!C9</f>
        <v>3963765.2199999997</v>
      </c>
      <c r="D17" s="8">
        <f t="shared" si="1"/>
        <v>13794157.189999998</v>
      </c>
      <c r="E17" s="8">
        <f t="shared" si="2"/>
        <v>9837393.6</v>
      </c>
      <c r="F17" s="8">
        <f>'24)经营活动现金流量预算'!F9</f>
        <v>2491848.4</v>
      </c>
      <c r="G17" s="8">
        <f>'24)经营活动现金流量预算'!G9</f>
        <v>2491848.4</v>
      </c>
      <c r="H17" s="8">
        <f>'24)经营活动现金流量预算'!H9</f>
        <v>2491848.4</v>
      </c>
      <c r="I17" s="8">
        <f>'24)经营活动现金流量预算'!I9</f>
        <v>2361848.4</v>
      </c>
      <c r="J17" s="8">
        <v>2.94</v>
      </c>
      <c r="K17" s="4"/>
    </row>
    <row r="18" spans="1:11" ht="19.5" customHeight="1">
      <c r="A18" s="19" t="s">
        <v>948</v>
      </c>
      <c r="B18" s="8">
        <f>'24)经营活动现金流量预算'!B15</f>
        <v>10169382.010000002</v>
      </c>
      <c r="C18" s="8">
        <f>'24)经营活动现金流量预算'!C15</f>
        <v>5780999.26</v>
      </c>
      <c r="D18" s="8">
        <f t="shared" si="1"/>
        <v>15950381.270000001</v>
      </c>
      <c r="E18" s="8">
        <f t="shared" si="2"/>
        <v>14786112.739999998</v>
      </c>
      <c r="F18" s="8">
        <f>'24)经营活动现金流量预算'!F15</f>
        <v>3507910.7499999995</v>
      </c>
      <c r="G18" s="8">
        <f>'24)经营活动现金流量预算'!G15</f>
        <v>3906320.51</v>
      </c>
      <c r="H18" s="8">
        <f>'24)经营活动现金流量预算'!H15</f>
        <v>3393590.7499999995</v>
      </c>
      <c r="I18" s="8">
        <f>'24)经营活动现金流量预算'!I15</f>
        <v>3978290.7299999995</v>
      </c>
      <c r="J18" s="8">
        <v>-0.85</v>
      </c>
      <c r="K18" s="4"/>
    </row>
    <row r="19" spans="1:11" ht="19.5" customHeight="1">
      <c r="A19" s="19" t="s">
        <v>949</v>
      </c>
      <c r="B19" s="8">
        <f>'24)经营活动现金流量预算'!B16</f>
        <v>1113728.5</v>
      </c>
      <c r="C19" s="8">
        <f>'24)经营活动现金流量预算'!C16</f>
        <v>783406.5</v>
      </c>
      <c r="D19" s="8">
        <f t="shared" si="1"/>
        <v>1897135</v>
      </c>
      <c r="E19" s="8">
        <f t="shared" si="2"/>
        <v>13066295.5</v>
      </c>
      <c r="F19" s="8">
        <f>'24)经营活动现金流量预算'!F16</f>
        <v>3266573.88</v>
      </c>
      <c r="G19" s="8">
        <f>'24)经营活动现金流量预算'!G16</f>
        <v>3266573.88</v>
      </c>
      <c r="H19" s="8">
        <f>'24)经营活动现金流量预算'!H16</f>
        <v>3266573.88</v>
      </c>
      <c r="I19" s="8">
        <f>'24)经营活动现金流量预算'!I16</f>
        <v>3266573.86</v>
      </c>
      <c r="J19" s="8">
        <v>-0.99</v>
      </c>
      <c r="K19" s="4"/>
    </row>
    <row r="20" spans="1:11" ht="19.5" customHeight="1">
      <c r="A20" s="19" t="s">
        <v>950</v>
      </c>
      <c r="B20" s="8">
        <f>'24)经营活动现金流量预算'!B17</f>
        <v>100407.68</v>
      </c>
      <c r="C20" s="8">
        <f>'24)经营活动现金流量预算'!C17</f>
        <v>22834.16</v>
      </c>
      <c r="D20" s="8">
        <f t="shared" si="1"/>
        <v>123241.84</v>
      </c>
      <c r="E20" s="8">
        <f t="shared" si="2"/>
        <v>89561.52</v>
      </c>
      <c r="F20" s="8">
        <f>'24)经营活动现金流量预算'!F17</f>
        <v>22390.38</v>
      </c>
      <c r="G20" s="8">
        <f>'24)经营活动现金流量预算'!G17</f>
        <v>22390.38</v>
      </c>
      <c r="H20" s="8">
        <f>'24)经营活动现金流量预算'!H17</f>
        <v>22390.38</v>
      </c>
      <c r="I20" s="8">
        <f>'24)经营活动现金流量预算'!I17</f>
        <v>22390.38</v>
      </c>
      <c r="J20" s="8">
        <v>0.2</v>
      </c>
      <c r="K20" s="4"/>
    </row>
    <row r="21" spans="1:11" ht="19.5" customHeight="1">
      <c r="A21" s="19" t="s">
        <v>951</v>
      </c>
      <c r="B21" s="8">
        <f>'24)经营活动现金流量预算'!B24</f>
        <v>117624.78</v>
      </c>
      <c r="C21" s="8">
        <f>'24)经营活动现金流量预算'!C24</f>
        <v>28450.14</v>
      </c>
      <c r="D21" s="8">
        <f t="shared" si="1"/>
        <v>146074.91999999998</v>
      </c>
      <c r="E21" s="8">
        <f t="shared" si="2"/>
        <v>115190.51999999999</v>
      </c>
      <c r="F21" s="8">
        <f>'24)经营活动现金流量预算'!F24</f>
        <v>28115.189999999995</v>
      </c>
      <c r="G21" s="8">
        <f>'24)经营活动现金流量预算'!G24</f>
        <v>30844.949999999993</v>
      </c>
      <c r="H21" s="8">
        <f>'24)经营活动现金流量预算'!H24</f>
        <v>28115.189999999995</v>
      </c>
      <c r="I21" s="8">
        <f>'24)经营活动现金流量预算'!I24</f>
        <v>28115.189999999995</v>
      </c>
      <c r="J21" s="8">
        <v>-0.15</v>
      </c>
      <c r="K21" s="4"/>
    </row>
    <row r="22" spans="1:11" ht="19.5" customHeight="1">
      <c r="A22" s="19" t="s">
        <v>952</v>
      </c>
      <c r="B22" s="8">
        <f>'24)经营活动现金流量预算'!B30</f>
        <v>8837621.05</v>
      </c>
      <c r="C22" s="8">
        <f>'24)经营活动现金流量预算'!C30</f>
        <v>4946308.46</v>
      </c>
      <c r="D22" s="8">
        <f t="shared" si="1"/>
        <v>13783929.510000002</v>
      </c>
      <c r="E22" s="8">
        <f t="shared" si="2"/>
        <v>1515065.2000000002</v>
      </c>
      <c r="F22" s="8">
        <f>'24)经营活动现金流量预算'!F30</f>
        <v>190831.3</v>
      </c>
      <c r="G22" s="8">
        <f>'24)经营活动现金流量预算'!G30</f>
        <v>586511.3</v>
      </c>
      <c r="H22" s="8">
        <f>'24)经营活动现金流量预算'!H30</f>
        <v>76511.3</v>
      </c>
      <c r="I22" s="8">
        <f>'24)经营活动现金流量预算'!I30</f>
        <v>661211.3</v>
      </c>
      <c r="J22" s="8">
        <v>-0.97</v>
      </c>
      <c r="K22" s="4"/>
    </row>
    <row r="23" spans="1:11" ht="19.5" customHeight="1">
      <c r="A23" s="19" t="s">
        <v>953</v>
      </c>
      <c r="B23" s="8">
        <f>'25投资活动现金流量预算'!B5</f>
        <v>-2452054.0900000003</v>
      </c>
      <c r="C23" s="8">
        <f>'25投资活动现金流量预算'!C5</f>
        <v>-740346.09</v>
      </c>
      <c r="D23" s="8">
        <f t="shared" si="1"/>
        <v>-3192400.18</v>
      </c>
      <c r="E23" s="8">
        <f t="shared" si="2"/>
        <v>-1850000</v>
      </c>
      <c r="F23" s="8">
        <f>'25投资活动现金流量预算'!F5</f>
        <v>-40000</v>
      </c>
      <c r="G23" s="8">
        <f>'25投资活动现金流量预算'!G5</f>
        <v>-350000</v>
      </c>
      <c r="H23" s="8">
        <f>'25投资活动现金流量预算'!H5</f>
        <v>-760000</v>
      </c>
      <c r="I23" s="8">
        <f>'25投资活动现金流量预算'!I5</f>
        <v>-700000</v>
      </c>
      <c r="J23" s="9"/>
      <c r="K23" s="4"/>
    </row>
    <row r="24" spans="1:11" ht="19.5" customHeight="1">
      <c r="A24" s="19" t="s">
        <v>954</v>
      </c>
      <c r="B24" s="8">
        <f>'25投资活动现金流量预算'!B6</f>
        <v>24094.63</v>
      </c>
      <c r="C24" s="8">
        <f>'25投资活动现金流量预算'!C6</f>
        <v>1000</v>
      </c>
      <c r="D24" s="8">
        <f t="shared" si="1"/>
        <v>25094.63</v>
      </c>
      <c r="E24" s="8">
        <f t="shared" si="2"/>
        <v>28136361.13</v>
      </c>
      <c r="F24" s="8">
        <f>'25投资活动现金流量预算'!F6</f>
        <v>7034090.2825</v>
      </c>
      <c r="G24" s="8">
        <f>'25投资活动现金流量预算'!G6</f>
        <v>7034090.2825</v>
      </c>
      <c r="H24" s="8">
        <f>'25投资活动现金流量预算'!H6</f>
        <v>7034090.2825</v>
      </c>
      <c r="I24" s="8">
        <f>'25投资活动现金流量预算'!I6</f>
        <v>7034090.2825</v>
      </c>
      <c r="J24" s="9"/>
      <c r="K24" s="4"/>
    </row>
    <row r="25" spans="1:11" ht="19.5" customHeight="1">
      <c r="A25" s="19" t="s">
        <v>955</v>
      </c>
      <c r="B25" s="8">
        <f>'25投资活动现金流量预算'!B7</f>
        <v>0</v>
      </c>
      <c r="C25" s="8">
        <f>'25投资活动现金流量预算'!C7</f>
        <v>0</v>
      </c>
      <c r="D25" s="8">
        <f t="shared" si="1"/>
        <v>0</v>
      </c>
      <c r="E25" s="8">
        <f t="shared" si="2"/>
        <v>0</v>
      </c>
      <c r="F25" s="8">
        <f>'25投资活动现金流量预算'!F7</f>
        <v>0</v>
      </c>
      <c r="G25" s="8">
        <f>'25投资活动现金流量预算'!G7</f>
        <v>0</v>
      </c>
      <c r="H25" s="8">
        <f>'25投资活动现金流量预算'!H7</f>
        <v>0</v>
      </c>
      <c r="I25" s="8">
        <f>'25投资活动现金流量预算'!I7</f>
        <v>0</v>
      </c>
      <c r="J25" s="9"/>
      <c r="K25" s="4"/>
    </row>
    <row r="26" spans="1:11" ht="19.5" customHeight="1">
      <c r="A26" s="19" t="s">
        <v>956</v>
      </c>
      <c r="B26" s="8">
        <f>'25投资活动现金流量预算'!B8</f>
        <v>0</v>
      </c>
      <c r="C26" s="8">
        <f>'25投资活动现金流量预算'!C8</f>
        <v>0</v>
      </c>
      <c r="D26" s="8">
        <f t="shared" si="1"/>
        <v>0</v>
      </c>
      <c r="E26" s="8">
        <f t="shared" si="2"/>
        <v>0</v>
      </c>
      <c r="F26" s="8">
        <f>'25投资活动现金流量预算'!F8</f>
        <v>0</v>
      </c>
      <c r="G26" s="8">
        <f>'25投资活动现金流量预算'!G8</f>
        <v>0</v>
      </c>
      <c r="H26" s="8">
        <f>'25投资活动现金流量预算'!H8</f>
        <v>0</v>
      </c>
      <c r="I26" s="8">
        <f>'25投资活动现金流量预算'!I8</f>
        <v>0</v>
      </c>
      <c r="J26" s="9"/>
      <c r="K26" s="4"/>
    </row>
    <row r="27" spans="1:11" ht="19.5" customHeight="1">
      <c r="A27" s="19" t="s">
        <v>957</v>
      </c>
      <c r="B27" s="8">
        <f>'25投资活动现金流量预算'!B9</f>
        <v>24094.63</v>
      </c>
      <c r="C27" s="8">
        <f>'25投资活动现金流量预算'!C9</f>
        <v>1000</v>
      </c>
      <c r="D27" s="8">
        <f t="shared" si="1"/>
        <v>25094.63</v>
      </c>
      <c r="E27" s="8">
        <f t="shared" si="2"/>
        <v>0</v>
      </c>
      <c r="F27" s="8">
        <f>'25投资活动现金流量预算'!F9</f>
        <v>0</v>
      </c>
      <c r="G27" s="8">
        <f>'25投资活动现金流量预算'!G9</f>
        <v>0</v>
      </c>
      <c r="H27" s="8">
        <f>'25投资活动现金流量预算'!H9</f>
        <v>0</v>
      </c>
      <c r="I27" s="8">
        <f>'25投资活动现金流量预算'!I9</f>
        <v>0</v>
      </c>
      <c r="J27" s="9"/>
      <c r="K27" s="4"/>
    </row>
    <row r="28" spans="1:11" ht="19.5" customHeight="1">
      <c r="A28" s="19" t="s">
        <v>958</v>
      </c>
      <c r="B28" s="8">
        <f>'25投资活动现金流量预算'!B10</f>
        <v>0</v>
      </c>
      <c r="C28" s="8">
        <f>'25投资活动现金流量预算'!C10</f>
        <v>0</v>
      </c>
      <c r="D28" s="8">
        <f t="shared" si="1"/>
        <v>0</v>
      </c>
      <c r="E28" s="8">
        <f t="shared" si="2"/>
        <v>0</v>
      </c>
      <c r="F28" s="8">
        <f>'25投资活动现金流量预算'!F10</f>
        <v>0</v>
      </c>
      <c r="G28" s="8">
        <f>'25投资活动现金流量预算'!G10</f>
        <v>0</v>
      </c>
      <c r="H28" s="8">
        <f>'25投资活动现金流量预算'!H10</f>
        <v>0</v>
      </c>
      <c r="I28" s="8">
        <f>'25投资活动现金流量预算'!I10</f>
        <v>0</v>
      </c>
      <c r="J28" s="9"/>
      <c r="K28" s="4"/>
    </row>
    <row r="29" spans="1:11" ht="19.5" customHeight="1">
      <c r="A29" s="19" t="s">
        <v>959</v>
      </c>
      <c r="B29" s="8">
        <f>'25投资活动现金流量预算'!B11</f>
        <v>0</v>
      </c>
      <c r="C29" s="8">
        <f>'25投资活动现金流量预算'!C11</f>
        <v>0</v>
      </c>
      <c r="D29" s="8">
        <f t="shared" si="1"/>
        <v>0</v>
      </c>
      <c r="E29" s="8">
        <f t="shared" si="2"/>
        <v>28136361.13</v>
      </c>
      <c r="F29" s="8">
        <f>'25投资活动现金流量预算'!F11</f>
        <v>7034090.2825</v>
      </c>
      <c r="G29" s="8">
        <f>'25投资活动现金流量预算'!G11</f>
        <v>7034090.2825</v>
      </c>
      <c r="H29" s="8">
        <f>'25投资活动现金流量预算'!H11</f>
        <v>7034090.2825</v>
      </c>
      <c r="I29" s="8">
        <f>'25投资活动现金流量预算'!I11</f>
        <v>7034090.2825</v>
      </c>
      <c r="J29" s="9"/>
      <c r="K29" s="4"/>
    </row>
    <row r="30" spans="1:11" ht="19.5" customHeight="1">
      <c r="A30" s="19" t="s">
        <v>960</v>
      </c>
      <c r="B30" s="8">
        <f>'25投资活动现金流量预算'!B12</f>
        <v>2476148.72</v>
      </c>
      <c r="C30" s="8">
        <f>'25投资活动现金流量预算'!C12</f>
        <v>741346.09</v>
      </c>
      <c r="D30" s="8">
        <f t="shared" si="1"/>
        <v>3217494.81</v>
      </c>
      <c r="E30" s="8">
        <f t="shared" si="2"/>
        <v>29986361.13</v>
      </c>
      <c r="F30" s="8">
        <f>'25投资活动现金流量预算'!F12</f>
        <v>7074090.2825</v>
      </c>
      <c r="G30" s="8">
        <f>'25投资活动现金流量预算'!G12</f>
        <v>7384090.2825</v>
      </c>
      <c r="H30" s="8">
        <f>'25投资活动现金流量预算'!H12</f>
        <v>7794090.2825</v>
      </c>
      <c r="I30" s="8">
        <f>'25投资活动现金流量预算'!I12</f>
        <v>7734090.2825</v>
      </c>
      <c r="J30" s="9"/>
      <c r="K30" s="4"/>
    </row>
    <row r="31" spans="1:11" ht="19.5" customHeight="1">
      <c r="A31" s="19" t="s">
        <v>961</v>
      </c>
      <c r="B31" s="8">
        <f>'25投资活动现金流量预算'!B13</f>
        <v>2476148.72</v>
      </c>
      <c r="C31" s="8">
        <f>'25投资活动现金流量预算'!C13</f>
        <v>741346.09</v>
      </c>
      <c r="D31" s="8">
        <f t="shared" si="1"/>
        <v>3217494.81</v>
      </c>
      <c r="E31" s="8">
        <f t="shared" si="2"/>
        <v>1850000</v>
      </c>
      <c r="F31" s="8">
        <f>'25投资活动现金流量预算'!F13</f>
        <v>40000</v>
      </c>
      <c r="G31" s="8">
        <f>'25投资活动现金流量预算'!G13</f>
        <v>350000</v>
      </c>
      <c r="H31" s="8">
        <f>'25投资活动现金流量预算'!H13</f>
        <v>760000</v>
      </c>
      <c r="I31" s="8">
        <f>'25投资活动现金流量预算'!I13</f>
        <v>700000</v>
      </c>
      <c r="J31" s="9"/>
      <c r="K31" s="4"/>
    </row>
    <row r="32" spans="1:11" ht="19.5" customHeight="1">
      <c r="A32" s="19" t="s">
        <v>962</v>
      </c>
      <c r="B32" s="8">
        <f>'25投资活动现金流量预算'!B23</f>
        <v>0</v>
      </c>
      <c r="C32" s="8">
        <f>'25投资活动现金流量预算'!C23</f>
        <v>0</v>
      </c>
      <c r="D32" s="8">
        <f t="shared" si="1"/>
        <v>0</v>
      </c>
      <c r="E32" s="8">
        <f t="shared" si="2"/>
        <v>0</v>
      </c>
      <c r="F32" s="8">
        <f>'25投资活动现金流量预算'!F23</f>
        <v>0</v>
      </c>
      <c r="G32" s="8">
        <f>'25投资活动现金流量预算'!G23</f>
        <v>0</v>
      </c>
      <c r="H32" s="8">
        <f>'25投资活动现金流量预算'!H23</f>
        <v>0</v>
      </c>
      <c r="I32" s="8">
        <f>'25投资活动现金流量预算'!I23</f>
        <v>0</v>
      </c>
      <c r="J32" s="9"/>
      <c r="K32" s="4"/>
    </row>
    <row r="33" spans="1:11" ht="19.5" customHeight="1">
      <c r="A33" s="19" t="s">
        <v>963</v>
      </c>
      <c r="B33" s="8">
        <f>'25投资活动现金流量预算'!B24</f>
        <v>0</v>
      </c>
      <c r="C33" s="8">
        <f>'25投资活动现金流量预算'!C24</f>
        <v>0</v>
      </c>
      <c r="D33" s="8">
        <f t="shared" si="1"/>
        <v>0</v>
      </c>
      <c r="E33" s="8">
        <f t="shared" si="2"/>
        <v>0</v>
      </c>
      <c r="F33" s="8">
        <f>'25投资活动现金流量预算'!F24</f>
        <v>0</v>
      </c>
      <c r="G33" s="8">
        <f>'25投资活动现金流量预算'!G24</f>
        <v>0</v>
      </c>
      <c r="H33" s="8">
        <f>'25投资活动现金流量预算'!H24</f>
        <v>0</v>
      </c>
      <c r="I33" s="8">
        <f>'25投资活动现金流量预算'!I24</f>
        <v>0</v>
      </c>
      <c r="J33" s="9"/>
      <c r="K33" s="4"/>
    </row>
    <row r="34" spans="1:11" ht="19.5" customHeight="1">
      <c r="A34" s="19" t="s">
        <v>964</v>
      </c>
      <c r="B34" s="8">
        <f>'25投资活动现金流量预算'!B25</f>
        <v>0</v>
      </c>
      <c r="C34" s="8">
        <f>'25投资活动现金流量预算'!C25</f>
        <v>0</v>
      </c>
      <c r="D34" s="8">
        <f t="shared" si="1"/>
        <v>0</v>
      </c>
      <c r="E34" s="8">
        <f t="shared" si="2"/>
        <v>28136361.13</v>
      </c>
      <c r="F34" s="8">
        <f>'25投资活动现金流量预算'!F25</f>
        <v>7034090.2825</v>
      </c>
      <c r="G34" s="8">
        <f>'25投资活动现金流量预算'!G25</f>
        <v>7034090.2825</v>
      </c>
      <c r="H34" s="8">
        <f>'25投资活动现金流量预算'!H25</f>
        <v>7034090.2825</v>
      </c>
      <c r="I34" s="8">
        <f>'25投资活动现金流量预算'!I25</f>
        <v>7034090.2825</v>
      </c>
      <c r="J34" s="9"/>
      <c r="K34" s="4"/>
    </row>
    <row r="35" spans="1:11" ht="19.5" customHeight="1">
      <c r="A35" s="19" t="s">
        <v>965</v>
      </c>
      <c r="B35" s="8">
        <f>'26)筹资活动现金流量预算'!B5</f>
        <v>0</v>
      </c>
      <c r="C35" s="8">
        <f>'26)筹资活动现金流量预算'!C5</f>
        <v>0</v>
      </c>
      <c r="D35" s="8">
        <f t="shared" si="1"/>
        <v>0</v>
      </c>
      <c r="E35" s="8">
        <f t="shared" si="2"/>
        <v>0</v>
      </c>
      <c r="F35" s="8">
        <f>'26)筹资活动现金流量预算'!F5</f>
        <v>0</v>
      </c>
      <c r="G35" s="8">
        <f>'26)筹资活动现金流量预算'!G5</f>
        <v>0</v>
      </c>
      <c r="H35" s="8">
        <f>'26)筹资活动现金流量预算'!H5</f>
        <v>0</v>
      </c>
      <c r="I35" s="8">
        <f>'26)筹资活动现金流量预算'!I5</f>
        <v>0</v>
      </c>
      <c r="J35" s="9"/>
      <c r="K35" s="4"/>
    </row>
    <row r="36" spans="1:11" ht="19.5" customHeight="1">
      <c r="A36" s="19" t="s">
        <v>966</v>
      </c>
      <c r="B36" s="8">
        <f>'26)筹资活动现金流量预算'!B6</f>
        <v>0</v>
      </c>
      <c r="C36" s="8">
        <f>'26)筹资活动现金流量预算'!C6</f>
        <v>0</v>
      </c>
      <c r="D36" s="8">
        <f t="shared" si="1"/>
        <v>0</v>
      </c>
      <c r="E36" s="8">
        <f t="shared" si="2"/>
        <v>0</v>
      </c>
      <c r="F36" s="8">
        <f>'26)筹资活动现金流量预算'!F6</f>
        <v>0</v>
      </c>
      <c r="G36" s="8">
        <f>'26)筹资活动现金流量预算'!G6</f>
        <v>0</v>
      </c>
      <c r="H36" s="8">
        <f>'26)筹资活动现金流量预算'!H6</f>
        <v>0</v>
      </c>
      <c r="I36" s="8">
        <f>'26)筹资活动现金流量预算'!I6</f>
        <v>0</v>
      </c>
      <c r="J36" s="9"/>
      <c r="K36" s="4"/>
    </row>
    <row r="37" spans="1:11" ht="19.5" customHeight="1">
      <c r="A37" s="19" t="s">
        <v>967</v>
      </c>
      <c r="B37" s="8">
        <f>'26)筹资活动现金流量预算'!B7</f>
        <v>0</v>
      </c>
      <c r="C37" s="8">
        <f>'26)筹资活动现金流量预算'!C7</f>
        <v>0</v>
      </c>
      <c r="D37" s="8">
        <f t="shared" si="1"/>
        <v>0</v>
      </c>
      <c r="E37" s="8">
        <f t="shared" si="2"/>
        <v>0</v>
      </c>
      <c r="F37" s="8">
        <f>'26)筹资活动现金流量预算'!F7</f>
        <v>0</v>
      </c>
      <c r="G37" s="8">
        <f>'26)筹资活动现金流量预算'!G7</f>
        <v>0</v>
      </c>
      <c r="H37" s="8">
        <f>'26)筹资活动现金流量预算'!H7</f>
        <v>0</v>
      </c>
      <c r="I37" s="8">
        <f>'26)筹资活动现金流量预算'!I7</f>
        <v>0</v>
      </c>
      <c r="J37" s="9"/>
      <c r="K37" s="4"/>
    </row>
    <row r="38" spans="1:11" ht="19.5" customHeight="1">
      <c r="A38" s="19" t="s">
        <v>968</v>
      </c>
      <c r="B38" s="8">
        <f>'26)筹资活动现金流量预算'!B8</f>
        <v>0</v>
      </c>
      <c r="C38" s="8">
        <f>'26)筹资活动现金流量预算'!C8</f>
        <v>0</v>
      </c>
      <c r="D38" s="8">
        <f t="shared" si="1"/>
        <v>0</v>
      </c>
      <c r="E38" s="8">
        <f t="shared" si="2"/>
        <v>0</v>
      </c>
      <c r="F38" s="8">
        <f>'26)筹资活动现金流量预算'!F8</f>
        <v>0</v>
      </c>
      <c r="G38" s="8">
        <f>'26)筹资活动现金流量预算'!G8</f>
        <v>0</v>
      </c>
      <c r="H38" s="8">
        <f>'26)筹资活动现金流量预算'!H8</f>
        <v>0</v>
      </c>
      <c r="I38" s="8">
        <f>'26)筹资活动现金流量预算'!I8</f>
        <v>0</v>
      </c>
      <c r="J38" s="9"/>
      <c r="K38" s="4"/>
    </row>
    <row r="39" spans="1:11" ht="19.5" customHeight="1">
      <c r="A39" s="19" t="s">
        <v>969</v>
      </c>
      <c r="B39" s="8">
        <f>'26)筹资活动现金流量预算'!B9</f>
        <v>0</v>
      </c>
      <c r="C39" s="8">
        <f>'26)筹资活动现金流量预算'!C9</f>
        <v>0</v>
      </c>
      <c r="D39" s="8">
        <f t="shared" si="1"/>
        <v>0</v>
      </c>
      <c r="E39" s="8">
        <f t="shared" si="2"/>
        <v>0</v>
      </c>
      <c r="F39" s="8">
        <f>'26)筹资活动现金流量预算'!F9</f>
        <v>0</v>
      </c>
      <c r="G39" s="8">
        <f>'26)筹资活动现金流量预算'!G9</f>
        <v>0</v>
      </c>
      <c r="H39" s="8">
        <f>'26)筹资活动现金流量预算'!H9</f>
        <v>0</v>
      </c>
      <c r="I39" s="8">
        <f>'26)筹资活动现金流量预算'!I9</f>
        <v>0</v>
      </c>
      <c r="J39" s="9"/>
      <c r="K39" s="4"/>
    </row>
    <row r="40" spans="1:11" ht="19.5" customHeight="1">
      <c r="A40" s="19" t="s">
        <v>970</v>
      </c>
      <c r="B40" s="8">
        <f>'26)筹资活动现金流量预算'!B10</f>
        <v>0</v>
      </c>
      <c r="C40" s="8">
        <f>'26)筹资活动现金流量预算'!C10</f>
        <v>0</v>
      </c>
      <c r="D40" s="8">
        <f t="shared" si="1"/>
        <v>0</v>
      </c>
      <c r="E40" s="8">
        <f t="shared" si="2"/>
        <v>0</v>
      </c>
      <c r="F40" s="8">
        <f>'26)筹资活动现金流量预算'!F10</f>
        <v>0</v>
      </c>
      <c r="G40" s="8">
        <f>'26)筹资活动现金流量预算'!G10</f>
        <v>0</v>
      </c>
      <c r="H40" s="8">
        <f>'26)筹资活动现金流量预算'!H10</f>
        <v>0</v>
      </c>
      <c r="I40" s="8">
        <f>'26)筹资活动现金流量预算'!I10</f>
        <v>0</v>
      </c>
      <c r="J40" s="9"/>
      <c r="K40" s="4"/>
    </row>
    <row r="41" spans="1:11" ht="19.5" customHeight="1">
      <c r="A41" s="19" t="s">
        <v>971</v>
      </c>
      <c r="B41" s="8">
        <f>'26)筹资活动现金流量预算'!B11</f>
        <v>0</v>
      </c>
      <c r="C41" s="8">
        <f>'26)筹资活动现金流量预算'!C11</f>
        <v>0</v>
      </c>
      <c r="D41" s="8">
        <f t="shared" si="1"/>
        <v>0</v>
      </c>
      <c r="E41" s="8">
        <f t="shared" si="2"/>
        <v>0</v>
      </c>
      <c r="F41" s="8">
        <f>'26)筹资活动现金流量预算'!F11</f>
        <v>0</v>
      </c>
      <c r="G41" s="8">
        <f>'26)筹资活动现金流量预算'!G11</f>
        <v>0</v>
      </c>
      <c r="H41" s="8">
        <f>'26)筹资活动现金流量预算'!H11</f>
        <v>0</v>
      </c>
      <c r="I41" s="8">
        <f>'26)筹资活动现金流量预算'!I11</f>
        <v>0</v>
      </c>
      <c r="J41" s="9"/>
      <c r="K41" s="4"/>
    </row>
    <row r="42" spans="1:11" ht="19.5" customHeight="1">
      <c r="A42" s="19" t="s">
        <v>972</v>
      </c>
      <c r="B42" s="8">
        <f>'26)筹资活动现金流量预算'!B12</f>
        <v>0</v>
      </c>
      <c r="C42" s="8">
        <f>'26)筹资活动现金流量预算'!C12</f>
        <v>0</v>
      </c>
      <c r="D42" s="8">
        <f t="shared" si="1"/>
        <v>0</v>
      </c>
      <c r="E42" s="8">
        <f t="shared" si="2"/>
        <v>0</v>
      </c>
      <c r="F42" s="8">
        <f>'26)筹资活动现金流量预算'!F12</f>
        <v>0</v>
      </c>
      <c r="G42" s="8">
        <f>'26)筹资活动现金流量预算'!G12</f>
        <v>0</v>
      </c>
      <c r="H42" s="8">
        <f>'26)筹资活动现金流量预算'!H12</f>
        <v>0</v>
      </c>
      <c r="I42" s="8">
        <f>'26)筹资活动现金流量预算'!I12</f>
        <v>0</v>
      </c>
      <c r="J42" s="9"/>
      <c r="K42" s="4"/>
    </row>
    <row r="43" spans="1:11" ht="19.5" customHeight="1">
      <c r="A43" s="19" t="s">
        <v>973</v>
      </c>
      <c r="B43" s="8">
        <f>'26)筹资活动现金流量预算'!B13</f>
        <v>0</v>
      </c>
      <c r="C43" s="8">
        <f>'26)筹资活动现金流量预算'!C13</f>
        <v>0</v>
      </c>
      <c r="D43" s="8">
        <f t="shared" si="1"/>
        <v>0</v>
      </c>
      <c r="E43" s="8">
        <f t="shared" si="2"/>
        <v>0</v>
      </c>
      <c r="F43" s="8">
        <f>'26)筹资活动现金流量预算'!F13</f>
        <v>0</v>
      </c>
      <c r="G43" s="8">
        <f>'26)筹资活动现金流量预算'!G13</f>
        <v>0</v>
      </c>
      <c r="H43" s="8">
        <f>'26)筹资活动现金流量预算'!H13</f>
        <v>0</v>
      </c>
      <c r="I43" s="8">
        <f>'26)筹资活动现金流量预算'!I13</f>
        <v>0</v>
      </c>
      <c r="J43" s="9"/>
      <c r="K43" s="4"/>
    </row>
    <row r="44" spans="1:11" ht="19.5" customHeight="1">
      <c r="A44" s="19" t="s">
        <v>974</v>
      </c>
      <c r="B44" s="10"/>
      <c r="C44" s="10"/>
      <c r="D44" s="10"/>
      <c r="E44" s="10"/>
      <c r="F44" s="10"/>
      <c r="G44" s="10"/>
      <c r="H44" s="10"/>
      <c r="I44" s="10"/>
      <c r="J44" s="9"/>
      <c r="K44" s="4"/>
    </row>
    <row r="45" spans="1:11" ht="19.5" customHeight="1">
      <c r="A45" s="19" t="s">
        <v>975</v>
      </c>
      <c r="B45" s="8">
        <f>B13+B23+B35</f>
        <v>797046.7699999972</v>
      </c>
      <c r="C45" s="8">
        <f aca="true" t="shared" si="3" ref="C45:I45">C13+C23+C35</f>
        <v>-1755087.63</v>
      </c>
      <c r="D45" s="8">
        <f t="shared" si="3"/>
        <v>-958040.8600000027</v>
      </c>
      <c r="E45" s="8">
        <f t="shared" si="3"/>
        <v>1350832.8600000017</v>
      </c>
      <c r="F45" s="8">
        <f t="shared" si="3"/>
        <v>96325.65000000037</v>
      </c>
      <c r="G45" s="8">
        <f t="shared" si="3"/>
        <v>-612084.1099999999</v>
      </c>
      <c r="H45" s="8">
        <f t="shared" si="3"/>
        <v>-29354.349999999627</v>
      </c>
      <c r="I45" s="8">
        <f t="shared" si="3"/>
        <v>1895945.6700000009</v>
      </c>
      <c r="J45" s="8">
        <v>-0.99</v>
      </c>
      <c r="K45" s="4"/>
    </row>
    <row r="46" spans="1:11" ht="19.5" customHeight="1">
      <c r="A46" s="19" t="s">
        <v>976</v>
      </c>
      <c r="B46" s="8">
        <f>B5+B45</f>
        <v>45632829.20999999</v>
      </c>
      <c r="C46" s="8">
        <f aca="true" t="shared" si="4" ref="C46:I46">C5+C45</f>
        <v>43877741.57999999</v>
      </c>
      <c r="D46" s="8">
        <f t="shared" si="4"/>
        <v>43877741.58</v>
      </c>
      <c r="E46" s="8">
        <f t="shared" si="4"/>
        <v>45228574.44</v>
      </c>
      <c r="F46" s="8">
        <f t="shared" si="4"/>
        <v>43974067.23</v>
      </c>
      <c r="G46" s="8">
        <f t="shared" si="4"/>
        <v>43361983.12</v>
      </c>
      <c r="H46" s="8">
        <f t="shared" si="4"/>
        <v>43332628.769999996</v>
      </c>
      <c r="I46" s="8">
        <f t="shared" si="4"/>
        <v>45228574.44</v>
      </c>
      <c r="J46" s="8">
        <v>-0.27</v>
      </c>
      <c r="K46" s="4"/>
    </row>
    <row r="47" spans="1:11" ht="19.5" customHeight="1">
      <c r="A47" s="2"/>
      <c r="B47" s="11" t="s">
        <v>343</v>
      </c>
      <c r="C47" s="12" t="s">
        <v>121</v>
      </c>
      <c r="D47" s="4"/>
      <c r="E47" s="4"/>
      <c r="F47" s="4"/>
      <c r="G47" s="11" t="s">
        <v>834</v>
      </c>
      <c r="H47" s="12" t="s">
        <v>118</v>
      </c>
      <c r="I47" s="4"/>
      <c r="J47" s="4"/>
      <c r="K47" s="4"/>
    </row>
  </sheetData>
  <sheetProtection/>
  <mergeCells count="7">
    <mergeCell ref="A1:K1"/>
    <mergeCell ref="B2:D2"/>
    <mergeCell ref="B3:D3"/>
    <mergeCell ref="E3:I3"/>
    <mergeCell ref="A3:A4"/>
    <mergeCell ref="J3:J4"/>
    <mergeCell ref="K3:K4"/>
  </mergeCells>
  <printOptions/>
  <pageMargins left="0.45" right="0.42" top="0.71" bottom="0.98" header="0.51" footer="0.51"/>
  <pageSetup fitToHeight="1" fitToWidth="1" horizontalDpi="300" verticalDpi="300" orientation="portrait" paperSize="9" scale="75"/>
  <legacyDrawing r:id="rId2"/>
</worksheet>
</file>

<file path=xl/worksheets/sheet25.xml><?xml version="1.0" encoding="utf-8"?>
<worksheet xmlns="http://schemas.openxmlformats.org/spreadsheetml/2006/main" xmlns:r="http://schemas.openxmlformats.org/officeDocument/2006/relationships">
  <dimension ref="A1:K50"/>
  <sheetViews>
    <sheetView workbookViewId="0" topLeftCell="A8">
      <selection activeCell="F16" sqref="F16"/>
    </sheetView>
  </sheetViews>
  <sheetFormatPr defaultColWidth="9.140625" defaultRowHeight="12.75"/>
  <cols>
    <col min="1" max="1" width="39.421875" style="0" customWidth="1"/>
    <col min="2" max="7" width="16.7109375" style="0" customWidth="1"/>
    <col min="8" max="9" width="18.140625" style="0" customWidth="1"/>
    <col min="10" max="11" width="14.00390625" style="0" customWidth="1"/>
  </cols>
  <sheetData>
    <row r="1" spans="1:11" ht="33.75" customHeight="1">
      <c r="A1" s="16" t="s">
        <v>977</v>
      </c>
      <c r="B1" s="16" t="s">
        <v>977</v>
      </c>
      <c r="C1" s="16" t="s">
        <v>977</v>
      </c>
      <c r="D1" s="16" t="s">
        <v>977</v>
      </c>
      <c r="E1" s="16" t="s">
        <v>977</v>
      </c>
      <c r="F1" s="16" t="s">
        <v>977</v>
      </c>
      <c r="G1" s="16" t="s">
        <v>977</v>
      </c>
      <c r="H1" s="16" t="s">
        <v>977</v>
      </c>
      <c r="I1" s="16" t="s">
        <v>977</v>
      </c>
      <c r="J1" s="16" t="s">
        <v>977</v>
      </c>
      <c r="K1" s="16" t="s">
        <v>977</v>
      </c>
    </row>
    <row r="2" spans="1:11" ht="18" customHeight="1">
      <c r="A2" s="4" t="s">
        <v>272</v>
      </c>
      <c r="B2" s="3"/>
      <c r="C2" s="3"/>
      <c r="D2" s="3"/>
      <c r="E2" s="4" t="s">
        <v>273</v>
      </c>
      <c r="F2" s="4"/>
      <c r="G2" s="4"/>
      <c r="H2" s="4"/>
      <c r="I2" s="4"/>
      <c r="J2" s="11" t="s">
        <v>1</v>
      </c>
      <c r="K2" s="4"/>
    </row>
    <row r="3" spans="1:11" ht="18" customHeight="1">
      <c r="A3" s="13" t="s">
        <v>276</v>
      </c>
      <c r="B3" s="6" t="s">
        <v>314</v>
      </c>
      <c r="C3" s="6" t="s">
        <v>314</v>
      </c>
      <c r="D3" s="6" t="s">
        <v>314</v>
      </c>
      <c r="E3" s="6" t="s">
        <v>278</v>
      </c>
      <c r="F3" s="6" t="s">
        <v>278</v>
      </c>
      <c r="G3" s="6" t="s">
        <v>278</v>
      </c>
      <c r="H3" s="6" t="s">
        <v>278</v>
      </c>
      <c r="I3" s="6" t="s">
        <v>278</v>
      </c>
      <c r="J3" s="6" t="s">
        <v>279</v>
      </c>
      <c r="K3" s="13" t="s">
        <v>36</v>
      </c>
    </row>
    <row r="4" spans="1:11" ht="18" customHeight="1">
      <c r="A4" s="13" t="s">
        <v>276</v>
      </c>
      <c r="B4" s="6" t="s">
        <v>280</v>
      </c>
      <c r="C4" s="6" t="s">
        <v>281</v>
      </c>
      <c r="D4" s="6" t="s">
        <v>427</v>
      </c>
      <c r="E4" s="6" t="s">
        <v>296</v>
      </c>
      <c r="F4" s="6" t="s">
        <v>306</v>
      </c>
      <c r="G4" s="6" t="s">
        <v>307</v>
      </c>
      <c r="H4" s="6" t="s">
        <v>308</v>
      </c>
      <c r="I4" s="6" t="s">
        <v>309</v>
      </c>
      <c r="J4" s="6" t="s">
        <v>279</v>
      </c>
      <c r="K4" s="13" t="s">
        <v>36</v>
      </c>
    </row>
    <row r="5" spans="1:11" ht="18" customHeight="1">
      <c r="A5" s="17" t="s">
        <v>978</v>
      </c>
      <c r="B5" s="8">
        <f>B6-B15</f>
        <v>3249100.8599999975</v>
      </c>
      <c r="C5" s="8">
        <f aca="true" t="shared" si="0" ref="C5:I5">C6-C15</f>
        <v>-1014741.54</v>
      </c>
      <c r="D5" s="8">
        <f t="shared" si="0"/>
        <v>11150472.07</v>
      </c>
      <c r="E5" s="8">
        <f t="shared" si="0"/>
        <v>3200832.860000003</v>
      </c>
      <c r="F5" s="8">
        <f t="shared" si="0"/>
        <v>136325.65000000037</v>
      </c>
      <c r="G5" s="8">
        <f t="shared" si="0"/>
        <v>-262084.10999999987</v>
      </c>
      <c r="H5" s="8">
        <f t="shared" si="0"/>
        <v>730645.6500000004</v>
      </c>
      <c r="I5" s="8">
        <f t="shared" si="0"/>
        <v>2595945.670000001</v>
      </c>
      <c r="J5" s="14">
        <f>E5/D5</f>
        <v>0.28705805816165797</v>
      </c>
      <c r="K5" s="4"/>
    </row>
    <row r="6" spans="1:11" ht="18" customHeight="1">
      <c r="A6" s="17" t="s">
        <v>979</v>
      </c>
      <c r="B6" s="8">
        <f>SUM(B7:B9)</f>
        <v>13418482.87</v>
      </c>
      <c r="C6" s="8">
        <f aca="true" t="shared" si="1" ref="C6:I6">SUM(C7:C9)</f>
        <v>4766257.72</v>
      </c>
      <c r="D6" s="8">
        <f t="shared" si="1"/>
        <v>18184740.59</v>
      </c>
      <c r="E6" s="8">
        <f t="shared" si="1"/>
        <v>17986945.6</v>
      </c>
      <c r="F6" s="8">
        <f t="shared" si="1"/>
        <v>3644236.4</v>
      </c>
      <c r="G6" s="8">
        <f t="shared" si="1"/>
        <v>3644236.4</v>
      </c>
      <c r="H6" s="8">
        <f t="shared" si="1"/>
        <v>4124236.4</v>
      </c>
      <c r="I6" s="8">
        <f t="shared" si="1"/>
        <v>6574236.4</v>
      </c>
      <c r="J6" s="14">
        <f aca="true" t="shared" si="2" ref="J6:J49">E6/D6</f>
        <v>0.989123023833028</v>
      </c>
      <c r="K6" s="4"/>
    </row>
    <row r="7" spans="1:11" ht="18" customHeight="1">
      <c r="A7" s="17" t="s">
        <v>980</v>
      </c>
      <c r="B7" s="8">
        <v>3588090.9</v>
      </c>
      <c r="C7" s="15">
        <f>'12)主营业务收支预算表'!C7+'12)主营业务收支预算表'!C8</f>
        <v>802492.5</v>
      </c>
      <c r="D7" s="8">
        <f>B7+C7</f>
        <v>4390583.4</v>
      </c>
      <c r="E7" s="8">
        <f>SUM(F7:I7)</f>
        <v>8149552</v>
      </c>
      <c r="F7" s="15">
        <f>'12)主营业务收支预算表'!F6</f>
        <v>1152388</v>
      </c>
      <c r="G7" s="15">
        <f>'12)主营业务收支预算表'!G6</f>
        <v>1152388</v>
      </c>
      <c r="H7" s="15">
        <f>'12)主营业务收支预算表'!H6</f>
        <v>1632388</v>
      </c>
      <c r="I7" s="15">
        <f>'12)主营业务收支预算表'!I6</f>
        <v>4212388</v>
      </c>
      <c r="J7" s="14">
        <f t="shared" si="2"/>
        <v>1.8561433088823684</v>
      </c>
      <c r="K7" s="4"/>
    </row>
    <row r="8" spans="1:11" ht="18" customHeight="1">
      <c r="A8" s="17" t="s">
        <v>981</v>
      </c>
      <c r="B8" s="9"/>
      <c r="C8" s="10"/>
      <c r="D8" s="8">
        <f>B8+C8</f>
        <v>0</v>
      </c>
      <c r="E8" s="8">
        <f>SUM(F8:I8)</f>
        <v>0</v>
      </c>
      <c r="F8" s="10"/>
      <c r="G8" s="10"/>
      <c r="H8" s="10"/>
      <c r="I8" s="10"/>
      <c r="J8" s="14" t="e">
        <f t="shared" si="2"/>
        <v>#DIV/0!</v>
      </c>
      <c r="K8" s="4"/>
    </row>
    <row r="9" spans="1:11" ht="18" customHeight="1">
      <c r="A9" s="17" t="s">
        <v>982</v>
      </c>
      <c r="B9" s="8">
        <f>SUM(B10:B14)</f>
        <v>9830391.969999999</v>
      </c>
      <c r="C9" s="8">
        <f aca="true" t="shared" si="3" ref="C9:I9">SUM(C10:C14)</f>
        <v>3963765.2199999997</v>
      </c>
      <c r="D9" s="8">
        <f t="shared" si="3"/>
        <v>13794157.19</v>
      </c>
      <c r="E9" s="8">
        <f t="shared" si="3"/>
        <v>9837393.6</v>
      </c>
      <c r="F9" s="8">
        <f t="shared" si="3"/>
        <v>2491848.4</v>
      </c>
      <c r="G9" s="8">
        <f t="shared" si="3"/>
        <v>2491848.4</v>
      </c>
      <c r="H9" s="8">
        <f t="shared" si="3"/>
        <v>2491848.4</v>
      </c>
      <c r="I9" s="8">
        <f t="shared" si="3"/>
        <v>2361848.4</v>
      </c>
      <c r="J9" s="14">
        <f t="shared" si="2"/>
        <v>0.7131565534958211</v>
      </c>
      <c r="K9" s="4"/>
    </row>
    <row r="10" spans="1:11" ht="18" customHeight="1">
      <c r="A10" s="17" t="s">
        <v>983</v>
      </c>
      <c r="B10" s="8">
        <v>860101.69</v>
      </c>
      <c r="C10" s="15">
        <f>266765.22+50000</f>
        <v>316765.22</v>
      </c>
      <c r="D10" s="8">
        <f aca="true" t="shared" si="4" ref="D10:D49">B10+C10</f>
        <v>1176866.91</v>
      </c>
      <c r="E10" s="8">
        <f aca="true" t="shared" si="5" ref="E10:E49">SUM(F10:I10)</f>
        <v>367393.6</v>
      </c>
      <c r="F10" s="15">
        <f>'13)其他业务收支预算表'!F6-'18)财务费用预算表'!F6</f>
        <v>91848.4</v>
      </c>
      <c r="G10" s="15">
        <f>'13)其他业务收支预算表'!G6-'18)财务费用预算表'!G6</f>
        <v>91848.4</v>
      </c>
      <c r="H10" s="15">
        <f>'13)其他业务收支预算表'!H6-'18)财务费用预算表'!H6</f>
        <v>91848.4</v>
      </c>
      <c r="I10" s="15">
        <f>'13)其他业务收支预算表'!I6-'18)财务费用预算表'!I6</f>
        <v>91848.4</v>
      </c>
      <c r="J10" s="14">
        <f t="shared" si="2"/>
        <v>0.3121793950345668</v>
      </c>
      <c r="K10" s="4"/>
    </row>
    <row r="11" spans="1:11" ht="18" customHeight="1" hidden="1">
      <c r="A11" s="17" t="s">
        <v>984</v>
      </c>
      <c r="B11" s="8"/>
      <c r="C11" s="10"/>
      <c r="D11" s="8">
        <f t="shared" si="4"/>
        <v>0</v>
      </c>
      <c r="E11" s="8">
        <f t="shared" si="5"/>
        <v>0</v>
      </c>
      <c r="F11" s="10"/>
      <c r="G11" s="10"/>
      <c r="H11" s="10"/>
      <c r="I11" s="10"/>
      <c r="J11" s="14" t="e">
        <f t="shared" si="2"/>
        <v>#DIV/0!</v>
      </c>
      <c r="K11" s="4"/>
    </row>
    <row r="12" spans="1:11" ht="18" customHeight="1">
      <c r="A12" s="17" t="s">
        <v>985</v>
      </c>
      <c r="B12" s="8">
        <v>8970290.28</v>
      </c>
      <c r="C12" s="15">
        <f>2270000+1377000</f>
        <v>3647000</v>
      </c>
      <c r="D12" s="8">
        <f t="shared" si="4"/>
        <v>12617290.28</v>
      </c>
      <c r="E12" s="8">
        <f t="shared" si="5"/>
        <v>9470000</v>
      </c>
      <c r="F12" s="15">
        <v>2400000</v>
      </c>
      <c r="G12" s="15">
        <v>2400000</v>
      </c>
      <c r="H12" s="15">
        <v>2400000</v>
      </c>
      <c r="I12" s="15">
        <v>2270000</v>
      </c>
      <c r="J12" s="14">
        <f t="shared" si="2"/>
        <v>0.750557353428822</v>
      </c>
      <c r="K12" s="4"/>
    </row>
    <row r="13" spans="1:11" ht="18" customHeight="1" hidden="1">
      <c r="A13" s="17" t="s">
        <v>986</v>
      </c>
      <c r="B13" s="9"/>
      <c r="C13" s="10"/>
      <c r="D13" s="8">
        <f t="shared" si="4"/>
        <v>0</v>
      </c>
      <c r="E13" s="8">
        <f t="shared" si="5"/>
        <v>0</v>
      </c>
      <c r="F13" s="10"/>
      <c r="G13" s="10"/>
      <c r="H13" s="10"/>
      <c r="I13" s="10"/>
      <c r="J13" s="14" t="e">
        <f t="shared" si="2"/>
        <v>#DIV/0!</v>
      </c>
      <c r="K13" s="4"/>
    </row>
    <row r="14" spans="1:11" ht="18" customHeight="1" hidden="1">
      <c r="A14" s="17" t="s">
        <v>987</v>
      </c>
      <c r="B14" s="9"/>
      <c r="C14" s="10"/>
      <c r="D14" s="8">
        <f t="shared" si="4"/>
        <v>0</v>
      </c>
      <c r="E14" s="8">
        <f t="shared" si="5"/>
        <v>0</v>
      </c>
      <c r="F14" s="10"/>
      <c r="G14" s="10"/>
      <c r="H14" s="10"/>
      <c r="I14" s="10"/>
      <c r="J14" s="14" t="e">
        <f t="shared" si="2"/>
        <v>#DIV/0!</v>
      </c>
      <c r="K14" s="4"/>
    </row>
    <row r="15" spans="1:11" ht="18" customHeight="1">
      <c r="A15" s="17" t="s">
        <v>988</v>
      </c>
      <c r="B15" s="8">
        <f>B16+B17+B24+B30</f>
        <v>10169382.010000002</v>
      </c>
      <c r="C15" s="8">
        <f aca="true" t="shared" si="6" ref="C15:I15">C16+C17+C24+C30</f>
        <v>5780999.26</v>
      </c>
      <c r="D15" s="8">
        <f t="shared" si="6"/>
        <v>7034268.52</v>
      </c>
      <c r="E15" s="8">
        <f t="shared" si="6"/>
        <v>14786112.739999998</v>
      </c>
      <c r="F15" s="8">
        <f t="shared" si="6"/>
        <v>3507910.7499999995</v>
      </c>
      <c r="G15" s="8">
        <f t="shared" si="6"/>
        <v>3906320.51</v>
      </c>
      <c r="H15" s="8">
        <f t="shared" si="6"/>
        <v>3393590.7499999995</v>
      </c>
      <c r="I15" s="8">
        <f t="shared" si="6"/>
        <v>3978290.7299999995</v>
      </c>
      <c r="J15" s="14">
        <f t="shared" si="2"/>
        <v>2.102011417101831</v>
      </c>
      <c r="K15" s="4"/>
    </row>
    <row r="16" spans="1:11" ht="18" customHeight="1">
      <c r="A16" s="17" t="s">
        <v>989</v>
      </c>
      <c r="B16" s="8">
        <v>1113728.5</v>
      </c>
      <c r="C16" s="15">
        <f>162623+620783.5</f>
        <v>783406.5</v>
      </c>
      <c r="D16" s="8">
        <f t="shared" si="4"/>
        <v>1897135</v>
      </c>
      <c r="E16" s="8">
        <f t="shared" si="5"/>
        <v>13066295.5</v>
      </c>
      <c r="F16" s="15">
        <f>'12)主营业务收支预算表'!F23</f>
        <v>3266573.88</v>
      </c>
      <c r="G16" s="15">
        <f>'12)主营业务收支预算表'!G23</f>
        <v>3266573.88</v>
      </c>
      <c r="H16" s="15">
        <f>'12)主营业务收支预算表'!H23</f>
        <v>3266573.88</v>
      </c>
      <c r="I16" s="15">
        <f>'12)主营业务收支预算表'!I23</f>
        <v>3266573.86</v>
      </c>
      <c r="J16" s="14">
        <f t="shared" si="2"/>
        <v>6.887383080276312</v>
      </c>
      <c r="K16" s="4"/>
    </row>
    <row r="17" spans="1:11" ht="18" customHeight="1">
      <c r="A17" s="17" t="s">
        <v>990</v>
      </c>
      <c r="B17" s="8">
        <f aca="true" t="shared" si="7" ref="B17:I17">SUM(B18:B23)</f>
        <v>100407.68</v>
      </c>
      <c r="C17" s="8">
        <f t="shared" si="7"/>
        <v>22834.16</v>
      </c>
      <c r="D17" s="8">
        <f t="shared" si="7"/>
        <v>123241.84</v>
      </c>
      <c r="E17" s="8">
        <f t="shared" si="7"/>
        <v>89561.52</v>
      </c>
      <c r="F17" s="8">
        <f t="shared" si="7"/>
        <v>22390.38</v>
      </c>
      <c r="G17" s="8">
        <f t="shared" si="7"/>
        <v>22390.38</v>
      </c>
      <c r="H17" s="8">
        <f t="shared" si="7"/>
        <v>22390.38</v>
      </c>
      <c r="I17" s="8">
        <f t="shared" si="7"/>
        <v>22390.38</v>
      </c>
      <c r="J17" s="14">
        <f t="shared" si="2"/>
        <v>0.7267135901249122</v>
      </c>
      <c r="K17" s="4"/>
    </row>
    <row r="18" spans="1:11" ht="18" customHeight="1">
      <c r="A18" s="17" t="s">
        <v>991</v>
      </c>
      <c r="B18" s="8">
        <v>73300</v>
      </c>
      <c r="C18" s="15">
        <f>'17)管理费用预算表'!C7</f>
        <v>15900</v>
      </c>
      <c r="D18" s="8">
        <f t="shared" si="4"/>
        <v>89200</v>
      </c>
      <c r="E18" s="8">
        <f t="shared" si="5"/>
        <v>63600</v>
      </c>
      <c r="F18" s="15">
        <f>'17)管理费用预算表'!F7</f>
        <v>15900</v>
      </c>
      <c r="G18" s="15">
        <f>'17)管理费用预算表'!G7</f>
        <v>15900</v>
      </c>
      <c r="H18" s="15">
        <f>'17)管理费用预算表'!H7</f>
        <v>15900</v>
      </c>
      <c r="I18" s="15">
        <f>'17)管理费用预算表'!I7</f>
        <v>15900</v>
      </c>
      <c r="J18" s="14">
        <f t="shared" si="2"/>
        <v>0.7130044843049327</v>
      </c>
      <c r="K18" s="4"/>
    </row>
    <row r="19" spans="1:11" ht="18" customHeight="1">
      <c r="A19" s="17" t="s">
        <v>992</v>
      </c>
      <c r="B19" s="9"/>
      <c r="C19" s="15">
        <v>0</v>
      </c>
      <c r="D19" s="8">
        <f t="shared" si="4"/>
        <v>0</v>
      </c>
      <c r="E19" s="8">
        <f t="shared" si="5"/>
        <v>0</v>
      </c>
      <c r="F19" s="15">
        <v>0</v>
      </c>
      <c r="G19" s="10"/>
      <c r="H19" s="10"/>
      <c r="I19" s="10"/>
      <c r="J19" s="14" t="e">
        <f t="shared" si="2"/>
        <v>#DIV/0!</v>
      </c>
      <c r="K19" s="4"/>
    </row>
    <row r="20" spans="1:11" ht="18" customHeight="1" hidden="1">
      <c r="A20" s="17" t="s">
        <v>993</v>
      </c>
      <c r="B20" s="8"/>
      <c r="C20" s="15"/>
      <c r="D20" s="8">
        <f t="shared" si="4"/>
        <v>0</v>
      </c>
      <c r="E20" s="8">
        <f t="shared" si="5"/>
        <v>0</v>
      </c>
      <c r="F20" s="15"/>
      <c r="G20" s="15"/>
      <c r="H20" s="15"/>
      <c r="I20" s="15"/>
      <c r="J20" s="14" t="e">
        <f t="shared" si="2"/>
        <v>#DIV/0!</v>
      </c>
      <c r="K20" s="4"/>
    </row>
    <row r="21" spans="1:11" ht="18" customHeight="1">
      <c r="A21" s="17" t="s">
        <v>994</v>
      </c>
      <c r="B21" s="8">
        <v>17915.68</v>
      </c>
      <c r="C21" s="15">
        <f>'17)管理费用预算表'!C16</f>
        <v>3494.16</v>
      </c>
      <c r="D21" s="8">
        <f t="shared" si="4"/>
        <v>21409.84</v>
      </c>
      <c r="E21" s="8">
        <f t="shared" si="5"/>
        <v>16103.52</v>
      </c>
      <c r="F21" s="15">
        <f>'17)管理费用预算表'!F16</f>
        <v>4025.88</v>
      </c>
      <c r="G21" s="15">
        <f>'17)管理费用预算表'!G16</f>
        <v>4025.88</v>
      </c>
      <c r="H21" s="15">
        <f>'17)管理费用预算表'!H16</f>
        <v>4025.88</v>
      </c>
      <c r="I21" s="15">
        <f>'17)管理费用预算表'!I16</f>
        <v>4025.88</v>
      </c>
      <c r="J21" s="14">
        <f t="shared" si="2"/>
        <v>0.7521550838306125</v>
      </c>
      <c r="K21" s="4"/>
    </row>
    <row r="22" spans="1:11" ht="18" customHeight="1">
      <c r="A22" s="17" t="s">
        <v>995</v>
      </c>
      <c r="B22" s="8">
        <v>7464</v>
      </c>
      <c r="C22" s="15">
        <f>'17)管理费用预算表'!C17</f>
        <v>1656</v>
      </c>
      <c r="D22" s="8">
        <f t="shared" si="4"/>
        <v>9120</v>
      </c>
      <c r="E22" s="8">
        <f t="shared" si="5"/>
        <v>7632</v>
      </c>
      <c r="F22" s="15">
        <f>'17)管理费用预算表'!F17</f>
        <v>1908</v>
      </c>
      <c r="G22" s="15">
        <f>'17)管理费用预算表'!G17</f>
        <v>1908</v>
      </c>
      <c r="H22" s="15">
        <f>'17)管理费用预算表'!H17</f>
        <v>1908</v>
      </c>
      <c r="I22" s="15">
        <f>'17)管理费用预算表'!I17</f>
        <v>1908</v>
      </c>
      <c r="J22" s="14">
        <f t="shared" si="2"/>
        <v>0.8368421052631579</v>
      </c>
      <c r="K22" s="4"/>
    </row>
    <row r="23" spans="1:11" ht="18" customHeight="1">
      <c r="A23" s="17" t="s">
        <v>996</v>
      </c>
      <c r="B23" s="8">
        <v>1728</v>
      </c>
      <c r="C23" s="15">
        <f>'17)管理费用预算表'!C22</f>
        <v>1784</v>
      </c>
      <c r="D23" s="8">
        <f t="shared" si="4"/>
        <v>3512</v>
      </c>
      <c r="E23" s="8">
        <f t="shared" si="5"/>
        <v>2226</v>
      </c>
      <c r="F23" s="15">
        <f>'17)管理费用预算表'!F21+'17)管理费用预算表'!F22</f>
        <v>556.5</v>
      </c>
      <c r="G23" s="15">
        <f>'17)管理费用预算表'!G21+'17)管理费用预算表'!G22</f>
        <v>556.5</v>
      </c>
      <c r="H23" s="15">
        <f>'17)管理费用预算表'!H21+'17)管理费用预算表'!H22</f>
        <v>556.5</v>
      </c>
      <c r="I23" s="15">
        <f>'17)管理费用预算表'!I21+'17)管理费用预算表'!I22</f>
        <v>556.5</v>
      </c>
      <c r="J23" s="14">
        <f t="shared" si="2"/>
        <v>0.6338268792710706</v>
      </c>
      <c r="K23" s="4"/>
    </row>
    <row r="24" spans="1:11" ht="18" customHeight="1">
      <c r="A24" s="17" t="s">
        <v>997</v>
      </c>
      <c r="B24" s="8">
        <f aca="true" t="shared" si="8" ref="B24:I24">SUM(B25:B29)</f>
        <v>117624.78</v>
      </c>
      <c r="C24" s="8">
        <f t="shared" si="8"/>
        <v>28450.14</v>
      </c>
      <c r="D24" s="8">
        <f t="shared" si="8"/>
        <v>146074.91999999998</v>
      </c>
      <c r="E24" s="8">
        <f t="shared" si="8"/>
        <v>115190.51999999997</v>
      </c>
      <c r="F24" s="8">
        <f t="shared" si="8"/>
        <v>28115.189999999995</v>
      </c>
      <c r="G24" s="8">
        <f t="shared" si="8"/>
        <v>30844.949999999993</v>
      </c>
      <c r="H24" s="8">
        <f t="shared" si="8"/>
        <v>28115.189999999995</v>
      </c>
      <c r="I24" s="8">
        <f t="shared" si="8"/>
        <v>28115.189999999995</v>
      </c>
      <c r="J24" s="14">
        <f t="shared" si="2"/>
        <v>0.788571508373922</v>
      </c>
      <c r="K24" s="4"/>
    </row>
    <row r="25" spans="1:11" ht="18" customHeight="1">
      <c r="A25" s="17" t="s">
        <v>998</v>
      </c>
      <c r="B25" s="8">
        <v>117624.78</v>
      </c>
      <c r="C25" s="15">
        <v>28450.14</v>
      </c>
      <c r="D25" s="8">
        <f t="shared" si="4"/>
        <v>146074.91999999998</v>
      </c>
      <c r="E25" s="8">
        <f t="shared" si="5"/>
        <v>2729.7599999999998</v>
      </c>
      <c r="F25" s="15">
        <f>'15)税金预算表'!F8+'15)税金预算表'!F23+'15)税金预算表'!F28</f>
        <v>0</v>
      </c>
      <c r="G25" s="15">
        <f>'15)税金预算表'!G8+'15)税金预算表'!G23+'15)税金预算表'!G28</f>
        <v>2729.7599999999998</v>
      </c>
      <c r="H25" s="15">
        <f>'15)税金预算表'!H8+'15)税金预算表'!H23+'15)税金预算表'!H28</f>
        <v>0</v>
      </c>
      <c r="I25" s="15">
        <f>'15)税金预算表'!I8+'15)税金预算表'!I23+'15)税金预算表'!I28</f>
        <v>0</v>
      </c>
      <c r="J25" s="14">
        <f t="shared" si="2"/>
        <v>0.01868739685087625</v>
      </c>
      <c r="K25" s="4"/>
    </row>
    <row r="26" spans="1:11" ht="18" customHeight="1" hidden="1">
      <c r="A26" s="17" t="s">
        <v>999</v>
      </c>
      <c r="B26" s="9"/>
      <c r="C26" s="15"/>
      <c r="D26" s="8">
        <f t="shared" si="4"/>
        <v>0</v>
      </c>
      <c r="E26" s="8">
        <f t="shared" si="5"/>
        <v>0</v>
      </c>
      <c r="F26" s="15"/>
      <c r="G26" s="15"/>
      <c r="H26" s="15"/>
      <c r="I26" s="15"/>
      <c r="J26" s="14" t="e">
        <f t="shared" si="2"/>
        <v>#DIV/0!</v>
      </c>
      <c r="K26" s="4"/>
    </row>
    <row r="27" spans="1:11" ht="18" customHeight="1" hidden="1">
      <c r="A27" s="17" t="s">
        <v>1000</v>
      </c>
      <c r="B27" s="8"/>
      <c r="C27" s="15"/>
      <c r="D27" s="8">
        <f t="shared" si="4"/>
        <v>0</v>
      </c>
      <c r="E27" s="8">
        <f t="shared" si="5"/>
        <v>0</v>
      </c>
      <c r="F27" s="15"/>
      <c r="G27" s="15"/>
      <c r="H27" s="15"/>
      <c r="I27" s="15"/>
      <c r="J27" s="14" t="e">
        <f t="shared" si="2"/>
        <v>#DIV/0!</v>
      </c>
      <c r="K27" s="4"/>
    </row>
    <row r="28" spans="1:11" ht="18" customHeight="1" hidden="1">
      <c r="A28" s="17" t="s">
        <v>1001</v>
      </c>
      <c r="B28" s="9"/>
      <c r="C28" s="15"/>
      <c r="D28" s="8">
        <f t="shared" si="4"/>
        <v>0</v>
      </c>
      <c r="E28" s="8">
        <f t="shared" si="5"/>
        <v>0</v>
      </c>
      <c r="F28" s="15"/>
      <c r="G28" s="15"/>
      <c r="H28" s="15"/>
      <c r="I28" s="15"/>
      <c r="J28" s="14" t="e">
        <f t="shared" si="2"/>
        <v>#DIV/0!</v>
      </c>
      <c r="K28" s="4"/>
    </row>
    <row r="29" spans="1:11" ht="18" customHeight="1">
      <c r="A29" s="17" t="s">
        <v>1002</v>
      </c>
      <c r="B29" s="8"/>
      <c r="C29" s="15">
        <f>'15)税金预算表'!C33+'15)税金预算表'!C43</f>
        <v>0</v>
      </c>
      <c r="D29" s="8">
        <f t="shared" si="4"/>
        <v>0</v>
      </c>
      <c r="E29" s="8">
        <f t="shared" si="5"/>
        <v>112460.75999999998</v>
      </c>
      <c r="F29" s="15">
        <f>'15)税金预算表'!F33+'15)税金预算表'!F43</f>
        <v>28115.189999999995</v>
      </c>
      <c r="G29" s="15">
        <f>'15)税金预算表'!G33+'15)税金预算表'!G43</f>
        <v>28115.189999999995</v>
      </c>
      <c r="H29" s="15">
        <f>'15)税金预算表'!H33+'15)税金预算表'!H43</f>
        <v>28115.189999999995</v>
      </c>
      <c r="I29" s="15">
        <f>'15)税金预算表'!I33+'15)税金预算表'!I43</f>
        <v>28115.189999999995</v>
      </c>
      <c r="J29" s="14" t="e">
        <f t="shared" si="2"/>
        <v>#DIV/0!</v>
      </c>
      <c r="K29" s="4"/>
    </row>
    <row r="30" spans="1:11" ht="18" customHeight="1">
      <c r="A30" s="17" t="s">
        <v>1003</v>
      </c>
      <c r="B30" s="8">
        <f>SUM(B31:B49)</f>
        <v>8837621.05</v>
      </c>
      <c r="C30" s="8">
        <f>SUM(C31:C49)</f>
        <v>4946308.46</v>
      </c>
      <c r="D30" s="8">
        <f>SUM(D31:D44)</f>
        <v>4867816.76</v>
      </c>
      <c r="E30" s="8">
        <f>SUM(E31:E45)</f>
        <v>1515065.2</v>
      </c>
      <c r="F30" s="8">
        <f>SUM(F31:F49)</f>
        <v>190831.3</v>
      </c>
      <c r="G30" s="8">
        <f>SUM(G31:G49)</f>
        <v>586511.3</v>
      </c>
      <c r="H30" s="8">
        <f>SUM(H31:H49)</f>
        <v>76511.3</v>
      </c>
      <c r="I30" s="8">
        <f>SUM(I31:I49)</f>
        <v>661211.3</v>
      </c>
      <c r="J30" s="14">
        <f t="shared" si="2"/>
        <v>0.3112412144289507</v>
      </c>
      <c r="K30" s="4"/>
    </row>
    <row r="31" spans="1:11" ht="18" customHeight="1">
      <c r="A31" s="17" t="s">
        <v>1004</v>
      </c>
      <c r="B31" s="8">
        <f>'14)营业外收支预算表'!B29</f>
        <v>797500</v>
      </c>
      <c r="C31" s="8">
        <f>'14)营业外收支预算表'!C29</f>
        <v>272500</v>
      </c>
      <c r="D31" s="8">
        <f t="shared" si="4"/>
        <v>1070000</v>
      </c>
      <c r="E31" s="8">
        <f t="shared" si="5"/>
        <v>1070000</v>
      </c>
      <c r="F31" s="15">
        <f>'14)营业外收支预算表'!F29</f>
        <v>0</v>
      </c>
      <c r="G31" s="15">
        <f>'14)营业外收支预算表'!G29</f>
        <v>535000</v>
      </c>
      <c r="H31" s="15">
        <f>'14)营业外收支预算表'!H29</f>
        <v>0</v>
      </c>
      <c r="I31" s="15">
        <f>'14)营业外收支预算表'!I29</f>
        <v>535000</v>
      </c>
      <c r="J31" s="14">
        <f t="shared" si="2"/>
        <v>1</v>
      </c>
      <c r="K31" s="4"/>
    </row>
    <row r="32" spans="1:11" ht="18" customHeight="1">
      <c r="A32" s="17" t="s">
        <v>1005</v>
      </c>
      <c r="B32" s="8">
        <f>'14)营业外收支预算表'!B30</f>
        <v>67005</v>
      </c>
      <c r="C32" s="8">
        <f>'14)营业外收支预算表'!C30</f>
        <v>22335</v>
      </c>
      <c r="D32" s="8">
        <f t="shared" si="4"/>
        <v>89340</v>
      </c>
      <c r="E32" s="8">
        <f t="shared" si="5"/>
        <v>89340</v>
      </c>
      <c r="F32" s="15">
        <f>'14)营业外收支预算表'!F30</f>
        <v>22335</v>
      </c>
      <c r="G32" s="15">
        <f>'14)营业外收支预算表'!G30</f>
        <v>22335</v>
      </c>
      <c r="H32" s="15">
        <f>'14)营业外收支预算表'!H30</f>
        <v>22335</v>
      </c>
      <c r="I32" s="15">
        <f>'14)营业外收支预算表'!I30</f>
        <v>22335</v>
      </c>
      <c r="J32" s="14">
        <f t="shared" si="2"/>
        <v>1</v>
      </c>
      <c r="K32" s="4"/>
    </row>
    <row r="33" spans="1:11" ht="18" customHeight="1">
      <c r="A33" s="17" t="s">
        <v>1006</v>
      </c>
      <c r="B33" s="8">
        <f>'14)营业外收支预算表'!B31</f>
        <v>136149</v>
      </c>
      <c r="C33" s="8">
        <f>'14)营业外收支预算表'!C31</f>
        <v>9195</v>
      </c>
      <c r="D33" s="8">
        <f t="shared" si="4"/>
        <v>145344</v>
      </c>
      <c r="E33" s="8">
        <f t="shared" si="5"/>
        <v>81145.2</v>
      </c>
      <c r="F33" s="15">
        <f>'14)营业外收支预算表'!F31</f>
        <v>26036.3</v>
      </c>
      <c r="G33" s="15">
        <f>'14)营业外收支预算表'!G31</f>
        <v>9536.3</v>
      </c>
      <c r="H33" s="15">
        <f>'14)营业外收支预算表'!H31</f>
        <v>9536.3</v>
      </c>
      <c r="I33" s="15">
        <f>'14)营业外收支预算表'!I31</f>
        <v>36036.3</v>
      </c>
      <c r="J33" s="14">
        <f t="shared" si="2"/>
        <v>0.5582975561426684</v>
      </c>
      <c r="K33" s="4"/>
    </row>
    <row r="34" spans="1:11" ht="18" customHeight="1">
      <c r="A34" s="17" t="s">
        <v>1007</v>
      </c>
      <c r="B34" s="8">
        <f>'14)营业外收支预算表'!B32</f>
        <v>32280</v>
      </c>
      <c r="C34" s="8">
        <f>'14)营业外收支预算表'!C32</f>
        <v>5240</v>
      </c>
      <c r="D34" s="8">
        <f t="shared" si="4"/>
        <v>37520</v>
      </c>
      <c r="E34" s="8">
        <f t="shared" si="5"/>
        <v>50000</v>
      </c>
      <c r="F34" s="15">
        <f>'14)营业外收支预算表'!F32</f>
        <v>25000</v>
      </c>
      <c r="G34" s="15">
        <f>'14)营业外收支预算表'!G32</f>
        <v>0</v>
      </c>
      <c r="H34" s="15">
        <f>'14)营业外收支预算表'!H32</f>
        <v>25000</v>
      </c>
      <c r="I34" s="15">
        <f>'14)营业外收支预算表'!I32</f>
        <v>0</v>
      </c>
      <c r="J34" s="14">
        <f t="shared" si="2"/>
        <v>1.3326226012793176</v>
      </c>
      <c r="K34" s="4"/>
    </row>
    <row r="35" spans="1:11" ht="18" customHeight="1">
      <c r="A35" s="17" t="s">
        <v>1008</v>
      </c>
      <c r="B35" s="8">
        <f>'14)营业外收支预算表'!B33</f>
        <v>30000</v>
      </c>
      <c r="C35" s="8">
        <f>'14)营业外收支预算表'!C33</f>
        <v>0</v>
      </c>
      <c r="D35" s="8">
        <f t="shared" si="4"/>
        <v>30000</v>
      </c>
      <c r="E35" s="8">
        <f t="shared" si="5"/>
        <v>40000</v>
      </c>
      <c r="F35" s="15">
        <f>'14)营业外收支预算表'!F33</f>
        <v>10000</v>
      </c>
      <c r="G35" s="15">
        <f>'14)营业外收支预算表'!G33</f>
        <v>10000</v>
      </c>
      <c r="H35" s="15">
        <f>'14)营业外收支预算表'!H33</f>
        <v>10000</v>
      </c>
      <c r="I35" s="15">
        <f>'14)营业外收支预算表'!I33</f>
        <v>10000</v>
      </c>
      <c r="J35" s="14">
        <f t="shared" si="2"/>
        <v>1.3333333333333333</v>
      </c>
      <c r="K35" s="4"/>
    </row>
    <row r="36" spans="1:11" ht="18" customHeight="1">
      <c r="A36" s="17" t="s">
        <v>1009</v>
      </c>
      <c r="B36" s="8">
        <f>'14)营业外收支预算表'!B34</f>
        <v>0</v>
      </c>
      <c r="C36" s="8">
        <f>'14)营业外收支预算表'!C34</f>
        <v>15000</v>
      </c>
      <c r="D36" s="8">
        <f t="shared" si="4"/>
        <v>15000</v>
      </c>
      <c r="E36" s="8">
        <f t="shared" si="5"/>
        <v>146000</v>
      </c>
      <c r="F36" s="15">
        <f>'14)营业外收支预算表'!F34</f>
        <v>96000</v>
      </c>
      <c r="G36" s="15">
        <f>'14)营业外收支预算表'!G34</f>
        <v>0</v>
      </c>
      <c r="H36" s="15">
        <f>'14)营业外收支预算表'!H34</f>
        <v>0</v>
      </c>
      <c r="I36" s="15">
        <f>'14)营业外收支预算表'!I34</f>
        <v>50000</v>
      </c>
      <c r="J36" s="14">
        <f t="shared" si="2"/>
        <v>9.733333333333333</v>
      </c>
      <c r="K36" s="4"/>
    </row>
    <row r="37" spans="1:11" ht="18" customHeight="1">
      <c r="A37" s="18" t="s">
        <v>1010</v>
      </c>
      <c r="B37" s="8">
        <f>'14)营业外收支预算表'!B35</f>
        <v>2748715.97</v>
      </c>
      <c r="C37" s="8">
        <f>'14)营业外收支预算表'!C35</f>
        <v>0</v>
      </c>
      <c r="D37" s="8">
        <f t="shared" si="4"/>
        <v>2748715.97</v>
      </c>
      <c r="E37" s="8">
        <f t="shared" si="5"/>
        <v>0</v>
      </c>
      <c r="F37" s="15"/>
      <c r="G37" s="15"/>
      <c r="H37" s="15"/>
      <c r="I37" s="15"/>
      <c r="J37" s="14">
        <f t="shared" si="2"/>
        <v>0</v>
      </c>
      <c r="K37" s="4"/>
    </row>
    <row r="38" spans="1:11" ht="18" customHeight="1">
      <c r="A38" s="18" t="s">
        <v>1011</v>
      </c>
      <c r="B38" s="9"/>
      <c r="C38" s="15"/>
      <c r="D38" s="8">
        <f t="shared" si="4"/>
        <v>0</v>
      </c>
      <c r="E38" s="8">
        <f t="shared" si="5"/>
        <v>20000</v>
      </c>
      <c r="F38" s="15">
        <f>'17)管理费用预算表'!F60</f>
        <v>5000</v>
      </c>
      <c r="G38" s="15">
        <f>'17)管理费用预算表'!G60</f>
        <v>5000</v>
      </c>
      <c r="H38" s="15">
        <f>'17)管理费用预算表'!H60</f>
        <v>5000</v>
      </c>
      <c r="I38" s="15">
        <f>'17)管理费用预算表'!I60</f>
        <v>5000</v>
      </c>
      <c r="J38" s="14" t="e">
        <f t="shared" si="2"/>
        <v>#DIV/0!</v>
      </c>
      <c r="K38" s="4"/>
    </row>
    <row r="39" spans="1:11" ht="18" customHeight="1" hidden="1">
      <c r="A39" s="17" t="s">
        <v>1012</v>
      </c>
      <c r="B39" s="8"/>
      <c r="C39" s="15"/>
      <c r="D39" s="8">
        <f t="shared" si="4"/>
        <v>0</v>
      </c>
      <c r="E39" s="8">
        <f t="shared" si="5"/>
        <v>0</v>
      </c>
      <c r="F39" s="15"/>
      <c r="G39" s="15"/>
      <c r="H39" s="15"/>
      <c r="I39" s="15"/>
      <c r="J39" s="14" t="e">
        <f t="shared" si="2"/>
        <v>#DIV/0!</v>
      </c>
      <c r="K39" s="4"/>
    </row>
    <row r="40" spans="1:11" ht="18" customHeight="1" hidden="1">
      <c r="A40" s="17" t="s">
        <v>1013</v>
      </c>
      <c r="B40" s="9"/>
      <c r="C40" s="15"/>
      <c r="D40" s="8">
        <f t="shared" si="4"/>
        <v>0</v>
      </c>
      <c r="E40" s="8">
        <f t="shared" si="5"/>
        <v>0</v>
      </c>
      <c r="F40" s="10"/>
      <c r="G40" s="10"/>
      <c r="H40" s="10"/>
      <c r="I40" s="10"/>
      <c r="J40" s="14" t="e">
        <f t="shared" si="2"/>
        <v>#DIV/0!</v>
      </c>
      <c r="K40" s="4"/>
    </row>
    <row r="41" spans="1:11" ht="18" customHeight="1" hidden="1">
      <c r="A41" s="17" t="s">
        <v>1014</v>
      </c>
      <c r="B41" s="9"/>
      <c r="C41" s="15"/>
      <c r="D41" s="8">
        <f t="shared" si="4"/>
        <v>0</v>
      </c>
      <c r="E41" s="8">
        <f t="shared" si="5"/>
        <v>0</v>
      </c>
      <c r="F41" s="10"/>
      <c r="G41" s="10"/>
      <c r="H41" s="10"/>
      <c r="I41" s="10"/>
      <c r="J41" s="14" t="e">
        <f t="shared" si="2"/>
        <v>#DIV/0!</v>
      </c>
      <c r="K41" s="4"/>
    </row>
    <row r="42" spans="1:11" ht="18" customHeight="1" hidden="1">
      <c r="A42" s="17" t="s">
        <v>1015</v>
      </c>
      <c r="B42" s="8"/>
      <c r="C42" s="15"/>
      <c r="D42" s="8">
        <f t="shared" si="4"/>
        <v>0</v>
      </c>
      <c r="E42" s="8">
        <f t="shared" si="5"/>
        <v>0</v>
      </c>
      <c r="F42" s="15"/>
      <c r="G42" s="15"/>
      <c r="H42" s="15"/>
      <c r="I42" s="15"/>
      <c r="J42" s="14" t="e">
        <f t="shared" si="2"/>
        <v>#DIV/0!</v>
      </c>
      <c r="K42" s="4"/>
    </row>
    <row r="43" spans="1:11" ht="18" customHeight="1">
      <c r="A43" s="17" t="s">
        <v>1016</v>
      </c>
      <c r="B43" s="8"/>
      <c r="C43" s="15"/>
      <c r="D43" s="8">
        <f t="shared" si="4"/>
        <v>0</v>
      </c>
      <c r="E43" s="8">
        <f t="shared" si="5"/>
        <v>0</v>
      </c>
      <c r="F43" s="15"/>
      <c r="G43" s="15"/>
      <c r="H43" s="10"/>
      <c r="I43" s="10"/>
      <c r="J43" s="14" t="e">
        <f t="shared" si="2"/>
        <v>#DIV/0!</v>
      </c>
      <c r="K43" s="4"/>
    </row>
    <row r="44" spans="1:11" ht="18" customHeight="1">
      <c r="A44" s="17" t="s">
        <v>1017</v>
      </c>
      <c r="B44" s="8">
        <f>'14)营业外收支预算表'!B36</f>
        <v>709858.33</v>
      </c>
      <c r="C44" s="8">
        <f>'14)营业外收支预算表'!C36</f>
        <v>22038.46</v>
      </c>
      <c r="D44" s="8">
        <f t="shared" si="4"/>
        <v>731896.7899999999</v>
      </c>
      <c r="E44" s="8">
        <f t="shared" si="5"/>
        <v>14580</v>
      </c>
      <c r="F44" s="15">
        <f>'13)其他业务收支预算表'!F10+'17)管理费用预算表'!F66</f>
        <v>5460</v>
      </c>
      <c r="G44" s="15">
        <f>'13)其他业务收支预算表'!G10+'17)管理费用预算表'!G66</f>
        <v>3640</v>
      </c>
      <c r="H44" s="15">
        <f>'13)其他业务收支预算表'!H10+'17)管理费用预算表'!H66</f>
        <v>3640</v>
      </c>
      <c r="I44" s="15">
        <f>'13)其他业务收支预算表'!I10+'17)管理费用预算表'!I66</f>
        <v>1840</v>
      </c>
      <c r="J44" s="14">
        <f t="shared" si="2"/>
        <v>0.019920841571118248</v>
      </c>
      <c r="K44" s="4"/>
    </row>
    <row r="45" spans="1:11" ht="18" customHeight="1">
      <c r="A45" s="17" t="s">
        <v>1018</v>
      </c>
      <c r="B45" s="8">
        <v>4316112.75</v>
      </c>
      <c r="C45" s="15">
        <v>4600000</v>
      </c>
      <c r="D45" s="8">
        <f t="shared" si="4"/>
        <v>8916112.75</v>
      </c>
      <c r="E45" s="8">
        <f t="shared" si="5"/>
        <v>4000</v>
      </c>
      <c r="F45" s="15">
        <f>'18)财务费用预算表'!F8</f>
        <v>1000</v>
      </c>
      <c r="G45" s="15">
        <f>'18)财务费用预算表'!G8</f>
        <v>1000</v>
      </c>
      <c r="H45" s="15">
        <f>'18)财务费用预算表'!H8</f>
        <v>1000</v>
      </c>
      <c r="I45" s="15">
        <f>'18)财务费用预算表'!I8</f>
        <v>1000</v>
      </c>
      <c r="J45" s="14">
        <f t="shared" si="2"/>
        <v>0.000448626000159094</v>
      </c>
      <c r="K45" s="4"/>
    </row>
    <row r="46" spans="1:11" ht="18" customHeight="1" hidden="1">
      <c r="A46" s="17" t="s">
        <v>1019</v>
      </c>
      <c r="B46" s="9"/>
      <c r="C46" s="10"/>
      <c r="D46" s="8">
        <f t="shared" si="4"/>
        <v>0</v>
      </c>
      <c r="E46" s="8">
        <f t="shared" si="5"/>
        <v>0</v>
      </c>
      <c r="F46" s="10"/>
      <c r="G46" s="10"/>
      <c r="H46" s="10"/>
      <c r="I46" s="10"/>
      <c r="J46" s="14" t="e">
        <f t="shared" si="2"/>
        <v>#DIV/0!</v>
      </c>
      <c r="K46" s="4"/>
    </row>
    <row r="47" spans="1:11" ht="18" customHeight="1" hidden="1">
      <c r="A47" s="17" t="s">
        <v>1020</v>
      </c>
      <c r="B47" s="8"/>
      <c r="C47" s="10"/>
      <c r="D47" s="8">
        <f t="shared" si="4"/>
        <v>0</v>
      </c>
      <c r="E47" s="8">
        <f t="shared" si="5"/>
        <v>0</v>
      </c>
      <c r="F47" s="10"/>
      <c r="G47" s="10"/>
      <c r="H47" s="10"/>
      <c r="I47" s="10"/>
      <c r="J47" s="14" t="e">
        <f t="shared" si="2"/>
        <v>#DIV/0!</v>
      </c>
      <c r="K47" s="4"/>
    </row>
    <row r="48" spans="1:11" ht="18" customHeight="1" hidden="1">
      <c r="A48" s="17" t="s">
        <v>1021</v>
      </c>
      <c r="B48" s="9"/>
      <c r="C48" s="10"/>
      <c r="D48" s="8">
        <f t="shared" si="4"/>
        <v>0</v>
      </c>
      <c r="E48" s="8">
        <f t="shared" si="5"/>
        <v>0</v>
      </c>
      <c r="F48" s="10"/>
      <c r="G48" s="10"/>
      <c r="H48" s="10"/>
      <c r="I48" s="10"/>
      <c r="J48" s="14" t="e">
        <f t="shared" si="2"/>
        <v>#DIV/0!</v>
      </c>
      <c r="K48" s="4"/>
    </row>
    <row r="49" spans="1:11" ht="18" customHeight="1" hidden="1">
      <c r="A49" s="17" t="s">
        <v>1022</v>
      </c>
      <c r="B49" s="9"/>
      <c r="C49" s="10"/>
      <c r="D49" s="8">
        <f t="shared" si="4"/>
        <v>0</v>
      </c>
      <c r="E49" s="8">
        <f t="shared" si="5"/>
        <v>0</v>
      </c>
      <c r="F49" s="10"/>
      <c r="G49" s="10"/>
      <c r="H49" s="10"/>
      <c r="I49" s="10"/>
      <c r="J49" s="14" t="e">
        <f t="shared" si="2"/>
        <v>#DIV/0!</v>
      </c>
      <c r="K49" s="4"/>
    </row>
    <row r="50" spans="1:11" ht="18" customHeight="1">
      <c r="A50" s="4"/>
      <c r="B50" s="11"/>
      <c r="C50" s="12" t="s">
        <v>310</v>
      </c>
      <c r="D50" s="4"/>
      <c r="E50" s="4"/>
      <c r="F50" s="11"/>
      <c r="G50" s="3" t="s">
        <v>328</v>
      </c>
      <c r="H50" s="4"/>
      <c r="I50" s="4"/>
      <c r="J50" s="4"/>
      <c r="K50" s="4"/>
    </row>
  </sheetData>
  <sheetProtection/>
  <mergeCells count="7">
    <mergeCell ref="A1:K1"/>
    <mergeCell ref="B2:D2"/>
    <mergeCell ref="B3:D3"/>
    <mergeCell ref="E3:I3"/>
    <mergeCell ref="A3:A4"/>
    <mergeCell ref="J3:J4"/>
    <mergeCell ref="K3:K4"/>
  </mergeCells>
  <printOptions/>
  <pageMargins left="0.75" right="0.75" top="1" bottom="1" header="0.5" footer="0.5"/>
  <pageSetup horizontalDpi="300" verticalDpi="300" orientation="portrait" paperSize="9"/>
  <legacyDrawing r:id="rId2"/>
</worksheet>
</file>

<file path=xl/worksheets/sheet26.xml><?xml version="1.0" encoding="utf-8"?>
<worksheet xmlns="http://schemas.openxmlformats.org/spreadsheetml/2006/main" xmlns:r="http://schemas.openxmlformats.org/officeDocument/2006/relationships">
  <dimension ref="A1:K26"/>
  <sheetViews>
    <sheetView workbookViewId="0" topLeftCell="A1">
      <selection activeCell="I26" sqref="I26"/>
    </sheetView>
  </sheetViews>
  <sheetFormatPr defaultColWidth="9.140625" defaultRowHeight="12.75"/>
  <cols>
    <col min="1" max="1" width="54.57421875" style="0" customWidth="1"/>
    <col min="2" max="9" width="16.7109375" style="0" customWidth="1"/>
    <col min="10" max="11" width="14.00390625" style="0" customWidth="1"/>
  </cols>
  <sheetData>
    <row r="1" spans="1:11" ht="25.5" customHeight="1">
      <c r="A1" s="1" t="s">
        <v>1023</v>
      </c>
      <c r="B1" s="1" t="s">
        <v>1023</v>
      </c>
      <c r="C1" s="1" t="s">
        <v>1023</v>
      </c>
      <c r="D1" s="1" t="s">
        <v>1023</v>
      </c>
      <c r="E1" s="1" t="s">
        <v>1023</v>
      </c>
      <c r="F1" s="1" t="s">
        <v>1023</v>
      </c>
      <c r="G1" s="1" t="s">
        <v>1023</v>
      </c>
      <c r="H1" s="1" t="s">
        <v>1023</v>
      </c>
      <c r="I1" s="1" t="s">
        <v>1023</v>
      </c>
      <c r="J1" s="1" t="s">
        <v>1023</v>
      </c>
      <c r="K1" s="1" t="s">
        <v>1023</v>
      </c>
    </row>
    <row r="2" spans="1:11" ht="18" customHeight="1">
      <c r="A2" s="2" t="s">
        <v>272</v>
      </c>
      <c r="B2" s="3"/>
      <c r="C2" s="3"/>
      <c r="D2" s="3"/>
      <c r="E2" s="4" t="s">
        <v>273</v>
      </c>
      <c r="F2" s="4"/>
      <c r="G2" s="4"/>
      <c r="H2" s="4"/>
      <c r="I2" s="4"/>
      <c r="J2" s="11" t="s">
        <v>1</v>
      </c>
      <c r="K2" s="4"/>
    </row>
    <row r="3" spans="1:11" ht="18.75" customHeight="1">
      <c r="A3" s="5" t="s">
        <v>276</v>
      </c>
      <c r="B3" s="6" t="s">
        <v>314</v>
      </c>
      <c r="C3" s="6" t="s">
        <v>314</v>
      </c>
      <c r="D3" s="6" t="s">
        <v>314</v>
      </c>
      <c r="E3" s="6" t="s">
        <v>278</v>
      </c>
      <c r="F3" s="6" t="s">
        <v>278</v>
      </c>
      <c r="G3" s="6" t="s">
        <v>278</v>
      </c>
      <c r="H3" s="6" t="s">
        <v>278</v>
      </c>
      <c r="I3" s="6" t="s">
        <v>278</v>
      </c>
      <c r="J3" s="6" t="s">
        <v>279</v>
      </c>
      <c r="K3" s="13" t="s">
        <v>36</v>
      </c>
    </row>
    <row r="4" spans="1:11" ht="18" customHeight="1">
      <c r="A4" s="5" t="s">
        <v>276</v>
      </c>
      <c r="B4" s="6" t="s">
        <v>280</v>
      </c>
      <c r="C4" s="6" t="s">
        <v>281</v>
      </c>
      <c r="D4" s="6" t="s">
        <v>427</v>
      </c>
      <c r="E4" s="6" t="s">
        <v>296</v>
      </c>
      <c r="F4" s="6" t="s">
        <v>306</v>
      </c>
      <c r="G4" s="6" t="s">
        <v>307</v>
      </c>
      <c r="H4" s="6" t="s">
        <v>308</v>
      </c>
      <c r="I4" s="6" t="s">
        <v>309</v>
      </c>
      <c r="J4" s="6" t="s">
        <v>279</v>
      </c>
      <c r="K4" s="13" t="s">
        <v>36</v>
      </c>
    </row>
    <row r="5" spans="1:11" ht="19.5" customHeight="1">
      <c r="A5" s="7" t="s">
        <v>1024</v>
      </c>
      <c r="B5" s="8">
        <f>B6-B12</f>
        <v>-2452054.0900000003</v>
      </c>
      <c r="C5" s="8">
        <f aca="true" t="shared" si="0" ref="C5:I5">C6-C12</f>
        <v>-740346.09</v>
      </c>
      <c r="D5" s="8">
        <f t="shared" si="0"/>
        <v>-3192400.18</v>
      </c>
      <c r="E5" s="8">
        <f t="shared" si="0"/>
        <v>-1850000</v>
      </c>
      <c r="F5" s="8">
        <f t="shared" si="0"/>
        <v>-40000</v>
      </c>
      <c r="G5" s="8">
        <f t="shared" si="0"/>
        <v>-350000</v>
      </c>
      <c r="H5" s="8">
        <f t="shared" si="0"/>
        <v>-760000</v>
      </c>
      <c r="I5" s="8">
        <f t="shared" si="0"/>
        <v>-700000</v>
      </c>
      <c r="J5" s="14">
        <f>E5/D5</f>
        <v>0.5795012829500592</v>
      </c>
      <c r="K5" s="4"/>
    </row>
    <row r="6" spans="1:11" ht="19.5" customHeight="1">
      <c r="A6" s="7" t="s">
        <v>1025</v>
      </c>
      <c r="B6" s="8">
        <f>SUM(B7:B11)</f>
        <v>24094.63</v>
      </c>
      <c r="C6" s="8">
        <f aca="true" t="shared" si="1" ref="C6:I6">SUM(C7:C11)</f>
        <v>1000</v>
      </c>
      <c r="D6" s="8">
        <f t="shared" si="1"/>
        <v>25094.63</v>
      </c>
      <c r="E6" s="8">
        <f t="shared" si="1"/>
        <v>28136361.13</v>
      </c>
      <c r="F6" s="8">
        <f t="shared" si="1"/>
        <v>7034090.2825</v>
      </c>
      <c r="G6" s="8">
        <f t="shared" si="1"/>
        <v>7034090.2825</v>
      </c>
      <c r="H6" s="8">
        <f t="shared" si="1"/>
        <v>7034090.2825</v>
      </c>
      <c r="I6" s="8">
        <f t="shared" si="1"/>
        <v>7034090.2825</v>
      </c>
      <c r="J6" s="14">
        <f aca="true" t="shared" si="2" ref="J6:J25">E6/D6</f>
        <v>1121.2104394446142</v>
      </c>
      <c r="K6" s="4"/>
    </row>
    <row r="7" spans="1:11" ht="19.5" customHeight="1">
      <c r="A7" s="7" t="s">
        <v>1026</v>
      </c>
      <c r="B7" s="8"/>
      <c r="C7" s="15"/>
      <c r="D7" s="8">
        <f>B7+C7</f>
        <v>0</v>
      </c>
      <c r="E7" s="8">
        <f>SUM(F7:I7)</f>
        <v>0</v>
      </c>
      <c r="F7" s="10"/>
      <c r="G7" s="10"/>
      <c r="H7" s="10"/>
      <c r="I7" s="10"/>
      <c r="J7" s="14" t="e">
        <f t="shared" si="2"/>
        <v>#DIV/0!</v>
      </c>
      <c r="K7" s="4"/>
    </row>
    <row r="8" spans="1:11" ht="19.5" customHeight="1">
      <c r="A8" s="7" t="s">
        <v>1027</v>
      </c>
      <c r="B8" s="8"/>
      <c r="C8" s="15">
        <f>'21)利润预算表'!C19</f>
        <v>0</v>
      </c>
      <c r="D8" s="8">
        <f aca="true" t="shared" si="3" ref="D8:D25">B8+C8</f>
        <v>0</v>
      </c>
      <c r="E8" s="8">
        <f aca="true" t="shared" si="4" ref="E8:E25">SUM(F8:I8)</f>
        <v>0</v>
      </c>
      <c r="F8" s="15">
        <f>'21)利润预算表'!F19</f>
        <v>0</v>
      </c>
      <c r="G8" s="15">
        <f>'21)利润预算表'!G19</f>
        <v>0</v>
      </c>
      <c r="H8" s="15">
        <f>'21)利润预算表'!H19</f>
        <v>0</v>
      </c>
      <c r="I8" s="15">
        <f>'21)利润预算表'!I19</f>
        <v>0</v>
      </c>
      <c r="J8" s="14" t="e">
        <f t="shared" si="2"/>
        <v>#DIV/0!</v>
      </c>
      <c r="K8" s="4"/>
    </row>
    <row r="9" spans="1:11" ht="19.5" customHeight="1">
      <c r="A9" s="7" t="s">
        <v>1028</v>
      </c>
      <c r="B9" s="8">
        <v>24094.63</v>
      </c>
      <c r="C9" s="15">
        <v>1000</v>
      </c>
      <c r="D9" s="8">
        <f t="shared" si="3"/>
        <v>25094.63</v>
      </c>
      <c r="E9" s="8">
        <f t="shared" si="4"/>
        <v>0</v>
      </c>
      <c r="F9" s="10"/>
      <c r="G9" s="10"/>
      <c r="H9" s="10"/>
      <c r="I9" s="10"/>
      <c r="J9" s="14">
        <f t="shared" si="2"/>
        <v>0</v>
      </c>
      <c r="K9" s="4"/>
    </row>
    <row r="10" spans="1:11" ht="19.5" customHeight="1">
      <c r="A10" s="7" t="s">
        <v>1029</v>
      </c>
      <c r="B10" s="8"/>
      <c r="C10" s="15"/>
      <c r="D10" s="8">
        <f t="shared" si="3"/>
        <v>0</v>
      </c>
      <c r="E10" s="8">
        <f t="shared" si="4"/>
        <v>0</v>
      </c>
      <c r="F10" s="10"/>
      <c r="G10" s="10"/>
      <c r="H10" s="10"/>
      <c r="I10" s="10"/>
      <c r="J10" s="14" t="e">
        <f t="shared" si="2"/>
        <v>#DIV/0!</v>
      </c>
      <c r="K10" s="4"/>
    </row>
    <row r="11" spans="1:11" ht="19.5" customHeight="1">
      <c r="A11" s="7" t="s">
        <v>1030</v>
      </c>
      <c r="B11" s="8"/>
      <c r="C11" s="15"/>
      <c r="D11" s="8">
        <f t="shared" si="3"/>
        <v>0</v>
      </c>
      <c r="E11" s="8">
        <f t="shared" si="4"/>
        <v>28136361.13</v>
      </c>
      <c r="F11" s="15">
        <f>SUM('自建项目及经营性投资项目预算表'!H5:H11)</f>
        <v>7034090.2825</v>
      </c>
      <c r="G11" s="15">
        <f>SUM('自建项目及经营性投资项目预算表'!I5:I11)</f>
        <v>7034090.2825</v>
      </c>
      <c r="H11" s="15">
        <f>SUM('自建项目及经营性投资项目预算表'!J5:J11)</f>
        <v>7034090.2825</v>
      </c>
      <c r="I11" s="15">
        <f>SUM('自建项目及经营性投资项目预算表'!K5:K11)</f>
        <v>7034090.2825</v>
      </c>
      <c r="J11" s="14" t="e">
        <f t="shared" si="2"/>
        <v>#DIV/0!</v>
      </c>
      <c r="K11" s="4"/>
    </row>
    <row r="12" spans="1:11" ht="19.5" customHeight="1">
      <c r="A12" s="7" t="s">
        <v>1031</v>
      </c>
      <c r="B12" s="8">
        <f>B13+B23+B24+B25</f>
        <v>2476148.72</v>
      </c>
      <c r="C12" s="8">
        <f aca="true" t="shared" si="5" ref="C12:I12">C13+C23+C24+C25</f>
        <v>741346.09</v>
      </c>
      <c r="D12" s="8">
        <f t="shared" si="5"/>
        <v>3217494.81</v>
      </c>
      <c r="E12" s="8">
        <f t="shared" si="5"/>
        <v>29986361.13</v>
      </c>
      <c r="F12" s="8">
        <f t="shared" si="5"/>
        <v>7074090.2825</v>
      </c>
      <c r="G12" s="8">
        <f t="shared" si="5"/>
        <v>7384090.2825</v>
      </c>
      <c r="H12" s="8">
        <f t="shared" si="5"/>
        <v>7794090.2825</v>
      </c>
      <c r="I12" s="8">
        <f t="shared" si="5"/>
        <v>7734090.2825</v>
      </c>
      <c r="J12" s="14">
        <f t="shared" si="2"/>
        <v>9.319785392287859</v>
      </c>
      <c r="K12" s="4"/>
    </row>
    <row r="13" spans="1:11" ht="19.5" customHeight="1">
      <c r="A13" s="7" t="s">
        <v>1032</v>
      </c>
      <c r="B13" s="8">
        <f>SUM(B14:B22)</f>
        <v>2476148.72</v>
      </c>
      <c r="C13" s="8">
        <f aca="true" t="shared" si="6" ref="C13:I13">SUM(C14:C22)</f>
        <v>741346.09</v>
      </c>
      <c r="D13" s="8">
        <f t="shared" si="6"/>
        <v>3217494.81</v>
      </c>
      <c r="E13" s="8">
        <f t="shared" si="6"/>
        <v>1850000</v>
      </c>
      <c r="F13" s="8">
        <f t="shared" si="6"/>
        <v>40000</v>
      </c>
      <c r="G13" s="8">
        <f t="shared" si="6"/>
        <v>350000</v>
      </c>
      <c r="H13" s="8">
        <f t="shared" si="6"/>
        <v>760000</v>
      </c>
      <c r="I13" s="8">
        <f t="shared" si="6"/>
        <v>700000</v>
      </c>
      <c r="J13" s="14">
        <f t="shared" si="2"/>
        <v>0.574981502456565</v>
      </c>
      <c r="K13" s="4"/>
    </row>
    <row r="14" spans="1:11" ht="19.5" customHeight="1">
      <c r="A14" s="7" t="s">
        <v>1033</v>
      </c>
      <c r="B14" s="8">
        <v>2476148.72</v>
      </c>
      <c r="C14" s="15">
        <v>741346.09</v>
      </c>
      <c r="D14" s="8">
        <f t="shared" si="3"/>
        <v>3217494.81</v>
      </c>
      <c r="E14" s="8">
        <f t="shared" si="4"/>
        <v>1850000</v>
      </c>
      <c r="F14" s="15">
        <f>'自建项目及经营性投资项目预算表'!H12</f>
        <v>40000</v>
      </c>
      <c r="G14" s="15">
        <f>'自建项目及经营性投资项目预算表'!I12</f>
        <v>350000</v>
      </c>
      <c r="H14" s="15">
        <f>'自建项目及经营性投资项目预算表'!J12</f>
        <v>760000</v>
      </c>
      <c r="I14" s="15">
        <f>'自建项目及经营性投资项目预算表'!K12</f>
        <v>700000</v>
      </c>
      <c r="J14" s="14">
        <f t="shared" si="2"/>
        <v>0.574981502456565</v>
      </c>
      <c r="K14" s="4"/>
    </row>
    <row r="15" spans="1:11" ht="19.5" customHeight="1">
      <c r="A15" s="7" t="s">
        <v>1034</v>
      </c>
      <c r="B15" s="8"/>
      <c r="C15" s="15">
        <f>'11)公务用车预算明细表'!E7</f>
        <v>0</v>
      </c>
      <c r="D15" s="8">
        <f t="shared" si="3"/>
        <v>0</v>
      </c>
      <c r="E15" s="8">
        <f t="shared" si="4"/>
        <v>0</v>
      </c>
      <c r="F15" s="15">
        <f>'11)公务用车预算明细表'!H6</f>
        <v>0</v>
      </c>
      <c r="G15" s="15">
        <f>'11)公务用车预算明细表'!I6</f>
        <v>0</v>
      </c>
      <c r="H15" s="15">
        <f>'11)公务用车预算明细表'!J6</f>
        <v>0</v>
      </c>
      <c r="I15" s="15">
        <f>'11)公务用车预算明细表'!K6</f>
        <v>0</v>
      </c>
      <c r="J15" s="14" t="e">
        <f t="shared" si="2"/>
        <v>#DIV/0!</v>
      </c>
      <c r="K15" s="4"/>
    </row>
    <row r="16" spans="1:11" ht="19.5" customHeight="1">
      <c r="A16" s="7" t="s">
        <v>1035</v>
      </c>
      <c r="B16" s="8"/>
      <c r="C16" s="15">
        <f>'5)固定资产及无形资产预算表'!C7</f>
        <v>0</v>
      </c>
      <c r="D16" s="8">
        <f t="shared" si="3"/>
        <v>0</v>
      </c>
      <c r="E16" s="8">
        <f t="shared" si="4"/>
        <v>0</v>
      </c>
      <c r="F16" s="15">
        <f>'5)固定资产及无形资产预算表'!F7</f>
        <v>0</v>
      </c>
      <c r="G16" s="15">
        <f>'5)固定资产及无形资产预算表'!G7</f>
        <v>0</v>
      </c>
      <c r="H16" s="15">
        <f>'5)固定资产及无形资产预算表'!H7</f>
        <v>0</v>
      </c>
      <c r="I16" s="15">
        <f>'5)固定资产及无形资产预算表'!I7</f>
        <v>0</v>
      </c>
      <c r="J16" s="14" t="e">
        <f t="shared" si="2"/>
        <v>#DIV/0!</v>
      </c>
      <c r="K16" s="4"/>
    </row>
    <row r="17" spans="1:11" ht="19.5" customHeight="1">
      <c r="A17" s="7" t="s">
        <v>1036</v>
      </c>
      <c r="B17" s="8"/>
      <c r="C17" s="15">
        <f>'5)固定资产及无形资产预算表'!C8</f>
        <v>0</v>
      </c>
      <c r="D17" s="8">
        <f t="shared" si="3"/>
        <v>0</v>
      </c>
      <c r="E17" s="8">
        <f t="shared" si="4"/>
        <v>0</v>
      </c>
      <c r="F17" s="15">
        <f>'5)固定资产及无形资产预算表'!F8</f>
        <v>0</v>
      </c>
      <c r="G17" s="15">
        <f>'5)固定资产及无形资产预算表'!G8</f>
        <v>0</v>
      </c>
      <c r="H17" s="15">
        <f>'5)固定资产及无形资产预算表'!H8</f>
        <v>0</v>
      </c>
      <c r="I17" s="15">
        <f>'5)固定资产及无形资产预算表'!I8</f>
        <v>0</v>
      </c>
      <c r="J17" s="14" t="e">
        <f t="shared" si="2"/>
        <v>#DIV/0!</v>
      </c>
      <c r="K17" s="4"/>
    </row>
    <row r="18" spans="1:11" ht="19.5" customHeight="1">
      <c r="A18" s="7" t="s">
        <v>1037</v>
      </c>
      <c r="B18" s="8"/>
      <c r="C18" s="15">
        <f>'5)固定资产及无形资产预算表'!C9</f>
        <v>0</v>
      </c>
      <c r="D18" s="8">
        <f t="shared" si="3"/>
        <v>0</v>
      </c>
      <c r="E18" s="8">
        <f t="shared" si="4"/>
        <v>0</v>
      </c>
      <c r="F18" s="15">
        <f>'5)固定资产及无形资产预算表'!F9</f>
        <v>0</v>
      </c>
      <c r="G18" s="15">
        <f>'5)固定资产及无形资产预算表'!G9</f>
        <v>0</v>
      </c>
      <c r="H18" s="15">
        <f>'5)固定资产及无形资产预算表'!H9</f>
        <v>0</v>
      </c>
      <c r="I18" s="15">
        <f>'5)固定资产及无形资产预算表'!I9</f>
        <v>0</v>
      </c>
      <c r="J18" s="14" t="e">
        <f t="shared" si="2"/>
        <v>#DIV/0!</v>
      </c>
      <c r="K18" s="4"/>
    </row>
    <row r="19" spans="1:11" ht="19.5" customHeight="1">
      <c r="A19" s="7" t="s">
        <v>1038</v>
      </c>
      <c r="B19" s="8"/>
      <c r="C19" s="15">
        <f>'5)固定资产及无形资产预算表'!C10</f>
        <v>0</v>
      </c>
      <c r="D19" s="8">
        <f t="shared" si="3"/>
        <v>0</v>
      </c>
      <c r="E19" s="8">
        <f t="shared" si="4"/>
        <v>0</v>
      </c>
      <c r="F19" s="15">
        <f>'5)固定资产及无形资产预算表'!F10</f>
        <v>0</v>
      </c>
      <c r="G19" s="15">
        <f>'5)固定资产及无形资产预算表'!G10</f>
        <v>0</v>
      </c>
      <c r="H19" s="15">
        <f>'5)固定资产及无形资产预算表'!H10</f>
        <v>0</v>
      </c>
      <c r="I19" s="15">
        <f>'5)固定资产及无形资产预算表'!I10</f>
        <v>0</v>
      </c>
      <c r="J19" s="14" t="e">
        <f t="shared" si="2"/>
        <v>#DIV/0!</v>
      </c>
      <c r="K19" s="4"/>
    </row>
    <row r="20" spans="1:11" ht="19.5" customHeight="1">
      <c r="A20" s="7" t="s">
        <v>1039</v>
      </c>
      <c r="B20" s="8"/>
      <c r="C20" s="15">
        <f>'5)固定资产及无形资产预算表'!C12</f>
        <v>0</v>
      </c>
      <c r="D20" s="8">
        <f t="shared" si="3"/>
        <v>0</v>
      </c>
      <c r="E20" s="8">
        <f t="shared" si="4"/>
        <v>0</v>
      </c>
      <c r="F20" s="15">
        <f>'5)固定资产及无形资产预算表'!F12</f>
        <v>0</v>
      </c>
      <c r="G20" s="15">
        <f>'5)固定资产及无形资产预算表'!G12</f>
        <v>0</v>
      </c>
      <c r="H20" s="15">
        <f>'5)固定资产及无形资产预算表'!H12</f>
        <v>0</v>
      </c>
      <c r="I20" s="15">
        <f>'5)固定资产及无形资产预算表'!I12</f>
        <v>0</v>
      </c>
      <c r="J20" s="14" t="e">
        <f t="shared" si="2"/>
        <v>#DIV/0!</v>
      </c>
      <c r="K20" s="4"/>
    </row>
    <row r="21" spans="1:11" ht="19.5" customHeight="1">
      <c r="A21" s="7" t="s">
        <v>1040</v>
      </c>
      <c r="B21" s="8"/>
      <c r="C21" s="10"/>
      <c r="D21" s="8">
        <f t="shared" si="3"/>
        <v>0</v>
      </c>
      <c r="E21" s="8">
        <f t="shared" si="4"/>
        <v>0</v>
      </c>
      <c r="F21" s="10"/>
      <c r="G21" s="10"/>
      <c r="H21" s="10"/>
      <c r="I21" s="10"/>
      <c r="J21" s="14" t="e">
        <f t="shared" si="2"/>
        <v>#DIV/0!</v>
      </c>
      <c r="K21" s="4"/>
    </row>
    <row r="22" spans="1:11" ht="19.5" customHeight="1">
      <c r="A22" s="7" t="s">
        <v>1041</v>
      </c>
      <c r="B22" s="8"/>
      <c r="C22" s="10"/>
      <c r="D22" s="8">
        <f t="shared" si="3"/>
        <v>0</v>
      </c>
      <c r="E22" s="8">
        <f t="shared" si="4"/>
        <v>0</v>
      </c>
      <c r="F22" s="10"/>
      <c r="G22" s="10"/>
      <c r="H22" s="10"/>
      <c r="I22" s="10"/>
      <c r="J22" s="14" t="e">
        <f t="shared" si="2"/>
        <v>#DIV/0!</v>
      </c>
      <c r="K22" s="4"/>
    </row>
    <row r="23" spans="1:11" ht="19.5" customHeight="1">
      <c r="A23" s="7" t="s">
        <v>1042</v>
      </c>
      <c r="B23" s="8"/>
      <c r="C23" s="10"/>
      <c r="D23" s="8">
        <f t="shared" si="3"/>
        <v>0</v>
      </c>
      <c r="E23" s="8">
        <f t="shared" si="4"/>
        <v>0</v>
      </c>
      <c r="F23" s="10"/>
      <c r="G23" s="10"/>
      <c r="H23" s="10"/>
      <c r="I23" s="10"/>
      <c r="J23" s="14" t="e">
        <f t="shared" si="2"/>
        <v>#DIV/0!</v>
      </c>
      <c r="K23" s="4"/>
    </row>
    <row r="24" spans="1:11" ht="19.5" customHeight="1">
      <c r="A24" s="7" t="s">
        <v>1043</v>
      </c>
      <c r="B24" s="8"/>
      <c r="C24" s="10"/>
      <c r="D24" s="8">
        <f t="shared" si="3"/>
        <v>0</v>
      </c>
      <c r="E24" s="8">
        <f t="shared" si="4"/>
        <v>0</v>
      </c>
      <c r="F24" s="10"/>
      <c r="G24" s="10"/>
      <c r="H24" s="10"/>
      <c r="I24" s="10"/>
      <c r="J24" s="14" t="e">
        <f t="shared" si="2"/>
        <v>#DIV/0!</v>
      </c>
      <c r="K24" s="4"/>
    </row>
    <row r="25" spans="1:11" ht="19.5" customHeight="1">
      <c r="A25" s="7" t="s">
        <v>1044</v>
      </c>
      <c r="B25" s="8"/>
      <c r="C25" s="10"/>
      <c r="D25" s="8">
        <f t="shared" si="3"/>
        <v>0</v>
      </c>
      <c r="E25" s="8">
        <f t="shared" si="4"/>
        <v>28136361.13</v>
      </c>
      <c r="F25" s="15">
        <f>SUM('自建项目及经营性投资项目预算表'!H5:H11)</f>
        <v>7034090.2825</v>
      </c>
      <c r="G25" s="15">
        <f>SUM('自建项目及经营性投资项目预算表'!I5:I11)</f>
        <v>7034090.2825</v>
      </c>
      <c r="H25" s="15">
        <f>SUM('自建项目及经营性投资项目预算表'!J5:J11)</f>
        <v>7034090.2825</v>
      </c>
      <c r="I25" s="15">
        <f>SUM('自建项目及经营性投资项目预算表'!K5:K11)</f>
        <v>7034090.2825</v>
      </c>
      <c r="J25" s="14" t="e">
        <f t="shared" si="2"/>
        <v>#DIV/0!</v>
      </c>
      <c r="K25" s="4"/>
    </row>
    <row r="26" spans="1:11" ht="19.5" customHeight="1">
      <c r="A26" s="2"/>
      <c r="B26" s="11"/>
      <c r="C26" s="12" t="s">
        <v>310</v>
      </c>
      <c r="D26" s="4"/>
      <c r="E26" s="4"/>
      <c r="F26" s="11"/>
      <c r="G26" s="3" t="s">
        <v>311</v>
      </c>
      <c r="H26" s="4"/>
      <c r="I26" s="4"/>
      <c r="J26" s="4"/>
      <c r="K26" s="4"/>
    </row>
  </sheetData>
  <sheetProtection/>
  <mergeCells count="7">
    <mergeCell ref="A1:K1"/>
    <mergeCell ref="B2:D2"/>
    <mergeCell ref="B3:D3"/>
    <mergeCell ref="E3:I3"/>
    <mergeCell ref="A3:A4"/>
    <mergeCell ref="J3:J4"/>
    <mergeCell ref="K3:K4"/>
  </mergeCells>
  <printOptions/>
  <pageMargins left="0.75" right="0.75" top="1" bottom="1" header="0.5" footer="0.5"/>
  <pageSetup horizontalDpi="300" verticalDpi="300" orientation="portrait" paperSize="9"/>
  <legacyDrawing r:id="rId2"/>
</worksheet>
</file>

<file path=xl/worksheets/sheet27.xml><?xml version="1.0" encoding="utf-8"?>
<worksheet xmlns="http://schemas.openxmlformats.org/spreadsheetml/2006/main" xmlns:r="http://schemas.openxmlformats.org/officeDocument/2006/relationships">
  <dimension ref="A1:K14"/>
  <sheetViews>
    <sheetView workbookViewId="0" topLeftCell="A1">
      <selection activeCell="E3" sqref="E3:I3"/>
    </sheetView>
  </sheetViews>
  <sheetFormatPr defaultColWidth="9.140625" defaultRowHeight="12.75"/>
  <cols>
    <col min="1" max="1" width="46.421875" style="0" customWidth="1"/>
    <col min="2" max="9" width="16.7109375" style="0" customWidth="1"/>
    <col min="10" max="11" width="14.00390625" style="0" customWidth="1"/>
  </cols>
  <sheetData>
    <row r="1" spans="1:11" ht="24" customHeight="1">
      <c r="A1" s="1" t="s">
        <v>1045</v>
      </c>
      <c r="B1" s="1" t="s">
        <v>1045</v>
      </c>
      <c r="C1" s="1" t="s">
        <v>1045</v>
      </c>
      <c r="D1" s="1" t="s">
        <v>1045</v>
      </c>
      <c r="E1" s="1" t="s">
        <v>1045</v>
      </c>
      <c r="F1" s="1" t="s">
        <v>1045</v>
      </c>
      <c r="G1" s="1" t="s">
        <v>1045</v>
      </c>
      <c r="H1" s="1" t="s">
        <v>1045</v>
      </c>
      <c r="I1" s="1" t="s">
        <v>1045</v>
      </c>
      <c r="J1" s="1" t="s">
        <v>1045</v>
      </c>
      <c r="K1" s="1" t="s">
        <v>1045</v>
      </c>
    </row>
    <row r="2" spans="1:11" ht="18" customHeight="1">
      <c r="A2" s="2" t="s">
        <v>272</v>
      </c>
      <c r="B2" s="3"/>
      <c r="C2" s="3"/>
      <c r="D2" s="3"/>
      <c r="E2" s="4" t="s">
        <v>273</v>
      </c>
      <c r="F2" s="4"/>
      <c r="G2" s="4"/>
      <c r="H2" s="4"/>
      <c r="I2" s="4"/>
      <c r="J2" s="11" t="s">
        <v>1</v>
      </c>
      <c r="K2" s="4"/>
    </row>
    <row r="3" spans="1:11" ht="18" customHeight="1">
      <c r="A3" s="5" t="s">
        <v>276</v>
      </c>
      <c r="B3" s="6" t="s">
        <v>314</v>
      </c>
      <c r="C3" s="6" t="s">
        <v>314</v>
      </c>
      <c r="D3" s="6" t="s">
        <v>314</v>
      </c>
      <c r="E3" s="6" t="s">
        <v>278</v>
      </c>
      <c r="F3" s="6" t="s">
        <v>278</v>
      </c>
      <c r="G3" s="6" t="s">
        <v>278</v>
      </c>
      <c r="H3" s="6" t="s">
        <v>278</v>
      </c>
      <c r="I3" s="6" t="s">
        <v>278</v>
      </c>
      <c r="J3" s="6" t="s">
        <v>279</v>
      </c>
      <c r="K3" s="13" t="s">
        <v>36</v>
      </c>
    </row>
    <row r="4" spans="1:11" ht="18" customHeight="1">
      <c r="A4" s="5" t="s">
        <v>276</v>
      </c>
      <c r="B4" s="6" t="s">
        <v>280</v>
      </c>
      <c r="C4" s="6" t="s">
        <v>281</v>
      </c>
      <c r="D4" s="6" t="s">
        <v>427</v>
      </c>
      <c r="E4" s="6" t="s">
        <v>296</v>
      </c>
      <c r="F4" s="6" t="s">
        <v>306</v>
      </c>
      <c r="G4" s="6" t="s">
        <v>307</v>
      </c>
      <c r="H4" s="6" t="s">
        <v>308</v>
      </c>
      <c r="I4" s="6" t="s">
        <v>309</v>
      </c>
      <c r="J4" s="6" t="s">
        <v>279</v>
      </c>
      <c r="K4" s="13" t="s">
        <v>36</v>
      </c>
    </row>
    <row r="5" spans="1:11" ht="19.5" customHeight="1">
      <c r="A5" s="7" t="s">
        <v>1046</v>
      </c>
      <c r="B5" s="8">
        <f>B6-B10</f>
        <v>0</v>
      </c>
      <c r="C5" s="8">
        <f aca="true" t="shared" si="0" ref="C5:I5">C6-C10</f>
        <v>0</v>
      </c>
      <c r="D5" s="8">
        <f t="shared" si="0"/>
        <v>0</v>
      </c>
      <c r="E5" s="8">
        <f t="shared" si="0"/>
        <v>0</v>
      </c>
      <c r="F5" s="8">
        <f t="shared" si="0"/>
        <v>0</v>
      </c>
      <c r="G5" s="8">
        <f t="shared" si="0"/>
        <v>0</v>
      </c>
      <c r="H5" s="8">
        <f t="shared" si="0"/>
        <v>0</v>
      </c>
      <c r="I5" s="8">
        <f t="shared" si="0"/>
        <v>0</v>
      </c>
      <c r="J5" s="14" t="e">
        <f>E5/D5</f>
        <v>#DIV/0!</v>
      </c>
      <c r="K5" s="4"/>
    </row>
    <row r="6" spans="1:11" ht="19.5" customHeight="1">
      <c r="A6" s="7" t="s">
        <v>1047</v>
      </c>
      <c r="B6" s="8">
        <f>SUM(B7:B9)</f>
        <v>0</v>
      </c>
      <c r="C6" s="8">
        <f aca="true" t="shared" si="1" ref="C6:I6">SUM(C7:C9)</f>
        <v>0</v>
      </c>
      <c r="D6" s="8">
        <f t="shared" si="1"/>
        <v>0</v>
      </c>
      <c r="E6" s="8">
        <f t="shared" si="1"/>
        <v>0</v>
      </c>
      <c r="F6" s="8">
        <f t="shared" si="1"/>
        <v>0</v>
      </c>
      <c r="G6" s="8">
        <f t="shared" si="1"/>
        <v>0</v>
      </c>
      <c r="H6" s="8">
        <f t="shared" si="1"/>
        <v>0</v>
      </c>
      <c r="I6" s="8">
        <f t="shared" si="1"/>
        <v>0</v>
      </c>
      <c r="J6" s="14" t="e">
        <f aca="true" t="shared" si="2" ref="J6:J13">E6/D6</f>
        <v>#DIV/0!</v>
      </c>
      <c r="K6" s="4"/>
    </row>
    <row r="7" spans="1:11" ht="19.5" customHeight="1">
      <c r="A7" s="7" t="s">
        <v>1048</v>
      </c>
      <c r="B7" s="9"/>
      <c r="C7" s="10"/>
      <c r="D7" s="8">
        <f>B7+C7</f>
        <v>0</v>
      </c>
      <c r="E7" s="8">
        <f>SUM(F7:I7)</f>
        <v>0</v>
      </c>
      <c r="F7" s="10"/>
      <c r="G7" s="10"/>
      <c r="H7" s="10"/>
      <c r="I7" s="10"/>
      <c r="J7" s="14" t="e">
        <f t="shared" si="2"/>
        <v>#DIV/0!</v>
      </c>
      <c r="K7" s="4"/>
    </row>
    <row r="8" spans="1:11" ht="19.5" customHeight="1">
      <c r="A8" s="7" t="s">
        <v>1049</v>
      </c>
      <c r="B8" s="9"/>
      <c r="C8" s="10"/>
      <c r="D8" s="8">
        <f aca="true" t="shared" si="3" ref="D8:D13">B8+C8</f>
        <v>0</v>
      </c>
      <c r="E8" s="8">
        <f aca="true" t="shared" si="4" ref="E8:E13">SUM(F8:I8)</f>
        <v>0</v>
      </c>
      <c r="F8" s="10"/>
      <c r="G8" s="10"/>
      <c r="H8" s="10"/>
      <c r="I8" s="10"/>
      <c r="J8" s="14" t="e">
        <f t="shared" si="2"/>
        <v>#DIV/0!</v>
      </c>
      <c r="K8" s="4"/>
    </row>
    <row r="9" spans="1:11" ht="19.5" customHeight="1">
      <c r="A9" s="7" t="s">
        <v>1050</v>
      </c>
      <c r="B9" s="9"/>
      <c r="C9" s="10"/>
      <c r="D9" s="8">
        <f t="shared" si="3"/>
        <v>0</v>
      </c>
      <c r="E9" s="8">
        <f t="shared" si="4"/>
        <v>0</v>
      </c>
      <c r="F9" s="10"/>
      <c r="G9" s="10"/>
      <c r="H9" s="10"/>
      <c r="I9" s="10"/>
      <c r="J9" s="14" t="e">
        <f t="shared" si="2"/>
        <v>#DIV/0!</v>
      </c>
      <c r="K9" s="4"/>
    </row>
    <row r="10" spans="1:11" ht="19.5" customHeight="1">
      <c r="A10" s="7" t="s">
        <v>1051</v>
      </c>
      <c r="B10" s="8">
        <f>SUM(B11:B13)</f>
        <v>0</v>
      </c>
      <c r="C10" s="8">
        <f aca="true" t="shared" si="5" ref="C10:I10">SUM(C11:C13)</f>
        <v>0</v>
      </c>
      <c r="D10" s="8">
        <f t="shared" si="5"/>
        <v>0</v>
      </c>
      <c r="E10" s="8">
        <f t="shared" si="5"/>
        <v>0</v>
      </c>
      <c r="F10" s="8">
        <f t="shared" si="5"/>
        <v>0</v>
      </c>
      <c r="G10" s="8">
        <f t="shared" si="5"/>
        <v>0</v>
      </c>
      <c r="H10" s="8">
        <f t="shared" si="5"/>
        <v>0</v>
      </c>
      <c r="I10" s="8">
        <f t="shared" si="5"/>
        <v>0</v>
      </c>
      <c r="J10" s="14" t="e">
        <f t="shared" si="2"/>
        <v>#DIV/0!</v>
      </c>
      <c r="K10" s="4"/>
    </row>
    <row r="11" spans="1:11" ht="19.5" customHeight="1">
      <c r="A11" s="7" t="s">
        <v>1052</v>
      </c>
      <c r="B11" s="9"/>
      <c r="C11" s="10"/>
      <c r="D11" s="8">
        <f t="shared" si="3"/>
        <v>0</v>
      </c>
      <c r="E11" s="8">
        <f t="shared" si="4"/>
        <v>0</v>
      </c>
      <c r="F11" s="10"/>
      <c r="G11" s="10"/>
      <c r="H11" s="10"/>
      <c r="I11" s="10"/>
      <c r="J11" s="14" t="e">
        <f t="shared" si="2"/>
        <v>#DIV/0!</v>
      </c>
      <c r="K11" s="4"/>
    </row>
    <row r="12" spans="1:11" ht="19.5" customHeight="1">
      <c r="A12" s="7" t="s">
        <v>1053</v>
      </c>
      <c r="B12" s="9"/>
      <c r="C12" s="10"/>
      <c r="D12" s="8">
        <f t="shared" si="3"/>
        <v>0</v>
      </c>
      <c r="E12" s="8">
        <f t="shared" si="4"/>
        <v>0</v>
      </c>
      <c r="F12" s="10"/>
      <c r="G12" s="10"/>
      <c r="H12" s="10"/>
      <c r="I12" s="10"/>
      <c r="J12" s="14" t="e">
        <f t="shared" si="2"/>
        <v>#DIV/0!</v>
      </c>
      <c r="K12" s="4"/>
    </row>
    <row r="13" spans="1:11" ht="19.5" customHeight="1">
      <c r="A13" s="7" t="s">
        <v>1054</v>
      </c>
      <c r="B13" s="9"/>
      <c r="C13" s="10"/>
      <c r="D13" s="8">
        <f t="shared" si="3"/>
        <v>0</v>
      </c>
      <c r="E13" s="8">
        <f t="shared" si="4"/>
        <v>0</v>
      </c>
      <c r="F13" s="10"/>
      <c r="G13" s="10"/>
      <c r="H13" s="10"/>
      <c r="I13" s="10"/>
      <c r="J13" s="14" t="e">
        <f t="shared" si="2"/>
        <v>#DIV/0!</v>
      </c>
      <c r="K13" s="4"/>
    </row>
    <row r="14" spans="1:11" ht="19.5" customHeight="1">
      <c r="A14" s="2"/>
      <c r="B14" s="11"/>
      <c r="C14" s="12" t="s">
        <v>310</v>
      </c>
      <c r="D14" s="4"/>
      <c r="E14" s="11"/>
      <c r="F14" s="11"/>
      <c r="G14" s="3" t="s">
        <v>328</v>
      </c>
      <c r="H14" s="4"/>
      <c r="I14" s="4"/>
      <c r="J14" s="4"/>
      <c r="K14" s="4"/>
    </row>
  </sheetData>
  <sheetProtection/>
  <mergeCells count="7">
    <mergeCell ref="A1:K1"/>
    <mergeCell ref="B2:D2"/>
    <mergeCell ref="B3:D3"/>
    <mergeCell ref="E3:I3"/>
    <mergeCell ref="A3:A4"/>
    <mergeCell ref="J3:J4"/>
    <mergeCell ref="K3:K4"/>
  </mergeCells>
  <printOptions/>
  <pageMargins left="0.75" right="0.75" top="1" bottom="1" header="0.5" footer="0.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N15"/>
  <sheetViews>
    <sheetView workbookViewId="0" topLeftCell="A1">
      <selection activeCell="I26" sqref="I26"/>
    </sheetView>
  </sheetViews>
  <sheetFormatPr defaultColWidth="9.140625" defaultRowHeight="12.75"/>
  <cols>
    <col min="1" max="1" width="24.421875" style="0" customWidth="1"/>
    <col min="2" max="4" width="14.00390625" style="0" customWidth="1"/>
    <col min="5" max="5" width="14.421875" style="0" customWidth="1"/>
    <col min="6" max="14" width="14.00390625" style="0" customWidth="1"/>
  </cols>
  <sheetData>
    <row r="1" spans="1:14" ht="18" customHeight="1">
      <c r="A1" s="16" t="s">
        <v>312</v>
      </c>
      <c r="B1" s="16" t="s">
        <v>312</v>
      </c>
      <c r="C1" s="16" t="s">
        <v>312</v>
      </c>
      <c r="D1" s="16" t="s">
        <v>312</v>
      </c>
      <c r="E1" s="16" t="s">
        <v>312</v>
      </c>
      <c r="F1" s="16" t="s">
        <v>312</v>
      </c>
      <c r="G1" s="16" t="s">
        <v>312</v>
      </c>
      <c r="H1" s="16" t="s">
        <v>312</v>
      </c>
      <c r="I1" s="16" t="s">
        <v>312</v>
      </c>
      <c r="J1" s="16" t="s">
        <v>312</v>
      </c>
      <c r="K1" s="16" t="s">
        <v>312</v>
      </c>
      <c r="L1" s="16" t="s">
        <v>312</v>
      </c>
      <c r="M1" s="16" t="s">
        <v>312</v>
      </c>
      <c r="N1" s="16" t="s">
        <v>312</v>
      </c>
    </row>
    <row r="2" spans="1:14" ht="18" customHeight="1">
      <c r="A2" s="4" t="s">
        <v>272</v>
      </c>
      <c r="B2" s="60"/>
      <c r="C2" s="60"/>
      <c r="D2" s="60"/>
      <c r="E2" s="4"/>
      <c r="F2" s="4"/>
      <c r="G2" s="21" t="s">
        <v>273</v>
      </c>
      <c r="H2" s="4"/>
      <c r="I2" s="4"/>
      <c r="J2" s="4"/>
      <c r="K2" s="11"/>
      <c r="L2" s="4"/>
      <c r="M2" s="11" t="s">
        <v>313</v>
      </c>
      <c r="N2" s="4"/>
    </row>
    <row r="3" spans="1:14" ht="18" customHeight="1">
      <c r="A3" s="13" t="s">
        <v>276</v>
      </c>
      <c r="B3" s="6" t="s">
        <v>314</v>
      </c>
      <c r="C3" s="6" t="s">
        <v>314</v>
      </c>
      <c r="D3" s="6" t="s">
        <v>314</v>
      </c>
      <c r="E3" s="6" t="s">
        <v>314</v>
      </c>
      <c r="F3" s="6" t="s">
        <v>278</v>
      </c>
      <c r="G3" s="6" t="s">
        <v>278</v>
      </c>
      <c r="H3" s="6" t="s">
        <v>278</v>
      </c>
      <c r="I3" s="6" t="s">
        <v>278</v>
      </c>
      <c r="J3" s="6" t="s">
        <v>279</v>
      </c>
      <c r="K3" s="6" t="s">
        <v>279</v>
      </c>
      <c r="L3" s="6" t="s">
        <v>279</v>
      </c>
      <c r="M3" s="6" t="s">
        <v>279</v>
      </c>
      <c r="N3" s="13" t="s">
        <v>36</v>
      </c>
    </row>
    <row r="4" spans="1:14" ht="18" customHeight="1">
      <c r="A4" s="13" t="s">
        <v>276</v>
      </c>
      <c r="B4" s="6" t="s">
        <v>315</v>
      </c>
      <c r="C4" s="6" t="s">
        <v>316</v>
      </c>
      <c r="D4" s="6" t="s">
        <v>317</v>
      </c>
      <c r="E4" s="6" t="s">
        <v>318</v>
      </c>
      <c r="F4" s="6" t="s">
        <v>315</v>
      </c>
      <c r="G4" s="6" t="s">
        <v>316</v>
      </c>
      <c r="H4" s="6" t="s">
        <v>317</v>
      </c>
      <c r="I4" s="6" t="s">
        <v>318</v>
      </c>
      <c r="J4" s="167" t="s">
        <v>315</v>
      </c>
      <c r="K4" s="17" t="s">
        <v>316</v>
      </c>
      <c r="L4" s="17" t="s">
        <v>317</v>
      </c>
      <c r="M4" s="17" t="s">
        <v>318</v>
      </c>
      <c r="N4" s="13" t="s">
        <v>36</v>
      </c>
    </row>
    <row r="5" spans="1:14" ht="30" customHeight="1">
      <c r="A5" s="13" t="s">
        <v>276</v>
      </c>
      <c r="B5" s="6" t="s">
        <v>315</v>
      </c>
      <c r="C5" s="6" t="s">
        <v>316</v>
      </c>
      <c r="D5" s="6" t="s">
        <v>317</v>
      </c>
      <c r="E5" s="6" t="s">
        <v>318</v>
      </c>
      <c r="F5" s="6" t="s">
        <v>315</v>
      </c>
      <c r="G5" s="6" t="s">
        <v>316</v>
      </c>
      <c r="H5" s="6" t="s">
        <v>317</v>
      </c>
      <c r="I5" s="6" t="s">
        <v>318</v>
      </c>
      <c r="J5" s="167" t="s">
        <v>315</v>
      </c>
      <c r="K5" s="17" t="s">
        <v>316</v>
      </c>
      <c r="L5" s="17" t="s">
        <v>317</v>
      </c>
      <c r="M5" s="17" t="s">
        <v>318</v>
      </c>
      <c r="N5" s="13" t="s">
        <v>36</v>
      </c>
    </row>
    <row r="6" spans="1:14" ht="18" customHeight="1">
      <c r="A6" s="17" t="s">
        <v>319</v>
      </c>
      <c r="B6" s="164">
        <f>B7+B14</f>
        <v>2</v>
      </c>
      <c r="C6" s="164">
        <f aca="true" t="shared" si="0" ref="C6:I6">C7+C14</f>
        <v>2</v>
      </c>
      <c r="D6" s="164">
        <f t="shared" si="0"/>
        <v>2</v>
      </c>
      <c r="E6" s="164">
        <f t="shared" si="0"/>
        <v>2</v>
      </c>
      <c r="F6" s="164">
        <f t="shared" si="0"/>
        <v>1</v>
      </c>
      <c r="G6" s="164">
        <f t="shared" si="0"/>
        <v>1</v>
      </c>
      <c r="H6" s="164">
        <f t="shared" si="0"/>
        <v>1</v>
      </c>
      <c r="I6" s="164">
        <f t="shared" si="0"/>
        <v>1</v>
      </c>
      <c r="J6" s="14">
        <f>F6/B6</f>
        <v>0.5</v>
      </c>
      <c r="K6" s="14">
        <f>G6/C6</f>
        <v>0.5</v>
      </c>
      <c r="L6" s="14">
        <f>H6/D6</f>
        <v>0.5</v>
      </c>
      <c r="M6" s="14">
        <f>I6/E6</f>
        <v>0.5</v>
      </c>
      <c r="N6" s="4"/>
    </row>
    <row r="7" spans="1:14" ht="18" customHeight="1">
      <c r="A7" s="17" t="s">
        <v>320</v>
      </c>
      <c r="B7" s="164">
        <f>SUM(B8:B13)</f>
        <v>0</v>
      </c>
      <c r="C7" s="164">
        <f aca="true" t="shared" si="1" ref="C7:I7">SUM(C8:C13)</f>
        <v>0</v>
      </c>
      <c r="D7" s="164">
        <f t="shared" si="1"/>
        <v>0</v>
      </c>
      <c r="E7" s="164">
        <f t="shared" si="1"/>
        <v>0</v>
      </c>
      <c r="F7" s="164">
        <f t="shared" si="1"/>
        <v>0</v>
      </c>
      <c r="G7" s="164">
        <f t="shared" si="1"/>
        <v>0</v>
      </c>
      <c r="H7" s="164">
        <f t="shared" si="1"/>
        <v>0</v>
      </c>
      <c r="I7" s="164">
        <f t="shared" si="1"/>
        <v>0</v>
      </c>
      <c r="J7" s="14" t="e">
        <f aca="true" t="shared" si="2" ref="J7:J14">F7/B7</f>
        <v>#DIV/0!</v>
      </c>
      <c r="K7" s="14" t="e">
        <f aca="true" t="shared" si="3" ref="K7:K14">G7/C7</f>
        <v>#DIV/0!</v>
      </c>
      <c r="L7" s="14" t="e">
        <f aca="true" t="shared" si="4" ref="L7:L14">H7/D7</f>
        <v>#DIV/0!</v>
      </c>
      <c r="M7" s="14" t="e">
        <f aca="true" t="shared" si="5" ref="M7:M14">I7/E7</f>
        <v>#DIV/0!</v>
      </c>
      <c r="N7" s="4"/>
    </row>
    <row r="8" spans="1:14" ht="18" customHeight="1">
      <c r="A8" s="17" t="s">
        <v>321</v>
      </c>
      <c r="B8" s="165"/>
      <c r="C8" s="165"/>
      <c r="D8" s="165"/>
      <c r="E8" s="165"/>
      <c r="F8" s="165"/>
      <c r="G8" s="165"/>
      <c r="H8" s="165"/>
      <c r="I8" s="165"/>
      <c r="J8" s="14" t="e">
        <f t="shared" si="2"/>
        <v>#DIV/0!</v>
      </c>
      <c r="K8" s="14" t="e">
        <f t="shared" si="3"/>
        <v>#DIV/0!</v>
      </c>
      <c r="L8" s="14" t="e">
        <f t="shared" si="4"/>
        <v>#DIV/0!</v>
      </c>
      <c r="M8" s="14" t="e">
        <f t="shared" si="5"/>
        <v>#DIV/0!</v>
      </c>
      <c r="N8" s="4"/>
    </row>
    <row r="9" spans="1:14" ht="18" customHeight="1">
      <c r="A9" s="17" t="s">
        <v>322</v>
      </c>
      <c r="B9" s="165"/>
      <c r="C9" s="165"/>
      <c r="D9" s="165"/>
      <c r="E9" s="165"/>
      <c r="F9" s="165"/>
      <c r="G9" s="165"/>
      <c r="H9" s="165"/>
      <c r="I9" s="165"/>
      <c r="J9" s="14" t="e">
        <f t="shared" si="2"/>
        <v>#DIV/0!</v>
      </c>
      <c r="K9" s="14" t="e">
        <f t="shared" si="3"/>
        <v>#DIV/0!</v>
      </c>
      <c r="L9" s="14" t="e">
        <f t="shared" si="4"/>
        <v>#DIV/0!</v>
      </c>
      <c r="M9" s="14" t="e">
        <f t="shared" si="5"/>
        <v>#DIV/0!</v>
      </c>
      <c r="N9" s="4"/>
    </row>
    <row r="10" spans="1:14" ht="18" customHeight="1">
      <c r="A10" s="17" t="s">
        <v>323</v>
      </c>
      <c r="B10" s="166"/>
      <c r="C10" s="166"/>
      <c r="D10" s="166"/>
      <c r="E10" s="166"/>
      <c r="F10" s="166"/>
      <c r="G10" s="166"/>
      <c r="H10" s="166"/>
      <c r="I10" s="166"/>
      <c r="J10" s="14" t="e">
        <f t="shared" si="2"/>
        <v>#DIV/0!</v>
      </c>
      <c r="K10" s="14" t="e">
        <f t="shared" si="3"/>
        <v>#DIV/0!</v>
      </c>
      <c r="L10" s="14" t="e">
        <f t="shared" si="4"/>
        <v>#DIV/0!</v>
      </c>
      <c r="M10" s="14" t="e">
        <f t="shared" si="5"/>
        <v>#DIV/0!</v>
      </c>
      <c r="N10" s="4"/>
    </row>
    <row r="11" spans="1:14" ht="18" customHeight="1">
      <c r="A11" s="17" t="s">
        <v>324</v>
      </c>
      <c r="B11" s="165"/>
      <c r="C11" s="165"/>
      <c r="D11" s="165"/>
      <c r="E11" s="165"/>
      <c r="F11" s="165"/>
      <c r="G11" s="165"/>
      <c r="H11" s="165"/>
      <c r="I11" s="165"/>
      <c r="J11" s="14" t="e">
        <f t="shared" si="2"/>
        <v>#DIV/0!</v>
      </c>
      <c r="K11" s="14" t="e">
        <f t="shared" si="3"/>
        <v>#DIV/0!</v>
      </c>
      <c r="L11" s="14" t="e">
        <f t="shared" si="4"/>
        <v>#DIV/0!</v>
      </c>
      <c r="M11" s="14" t="e">
        <f t="shared" si="5"/>
        <v>#DIV/0!</v>
      </c>
      <c r="N11" s="4"/>
    </row>
    <row r="12" spans="1:14" ht="18" customHeight="1">
      <c r="A12" s="17" t="s">
        <v>325</v>
      </c>
      <c r="B12" s="165"/>
      <c r="C12" s="165"/>
      <c r="D12" s="165"/>
      <c r="E12" s="165"/>
      <c r="F12" s="165"/>
      <c r="G12" s="165"/>
      <c r="H12" s="165"/>
      <c r="I12" s="165"/>
      <c r="J12" s="14" t="e">
        <f t="shared" si="2"/>
        <v>#DIV/0!</v>
      </c>
      <c r="K12" s="14" t="e">
        <f t="shared" si="3"/>
        <v>#DIV/0!</v>
      </c>
      <c r="L12" s="14" t="e">
        <f t="shared" si="4"/>
        <v>#DIV/0!</v>
      </c>
      <c r="M12" s="14" t="e">
        <f t="shared" si="5"/>
        <v>#DIV/0!</v>
      </c>
      <c r="N12" s="4"/>
    </row>
    <row r="13" spans="1:14" ht="18" customHeight="1">
      <c r="A13" s="17" t="s">
        <v>326</v>
      </c>
      <c r="B13" s="165"/>
      <c r="C13" s="165"/>
      <c r="D13" s="165"/>
      <c r="E13" s="165"/>
      <c r="F13" s="165"/>
      <c r="G13" s="165"/>
      <c r="H13" s="165"/>
      <c r="I13" s="165"/>
      <c r="J13" s="14" t="e">
        <f t="shared" si="2"/>
        <v>#DIV/0!</v>
      </c>
      <c r="K13" s="14" t="e">
        <f t="shared" si="3"/>
        <v>#DIV/0!</v>
      </c>
      <c r="L13" s="14" t="e">
        <f t="shared" si="4"/>
        <v>#DIV/0!</v>
      </c>
      <c r="M13" s="14" t="e">
        <f t="shared" si="5"/>
        <v>#DIV/0!</v>
      </c>
      <c r="N13" s="4"/>
    </row>
    <row r="14" spans="1:14" ht="18" customHeight="1">
      <c r="A14" s="17" t="s">
        <v>327</v>
      </c>
      <c r="B14" s="166">
        <v>2</v>
      </c>
      <c r="C14" s="166">
        <v>2</v>
      </c>
      <c r="D14" s="166">
        <v>2</v>
      </c>
      <c r="E14" s="166">
        <v>2</v>
      </c>
      <c r="F14" s="166">
        <v>1</v>
      </c>
      <c r="G14" s="166">
        <v>1</v>
      </c>
      <c r="H14" s="166">
        <v>1</v>
      </c>
      <c r="I14" s="166">
        <v>1</v>
      </c>
      <c r="J14" s="14">
        <f t="shared" si="2"/>
        <v>0.5</v>
      </c>
      <c r="K14" s="14">
        <f t="shared" si="3"/>
        <v>0.5</v>
      </c>
      <c r="L14" s="14">
        <f t="shared" si="4"/>
        <v>0.5</v>
      </c>
      <c r="M14" s="14">
        <f t="shared" si="5"/>
        <v>0.5</v>
      </c>
      <c r="N14" s="4"/>
    </row>
    <row r="15" spans="1:14" ht="18" customHeight="1">
      <c r="A15" s="4"/>
      <c r="B15" s="11"/>
      <c r="C15" s="12" t="s">
        <v>310</v>
      </c>
      <c r="D15" s="4"/>
      <c r="E15" s="11"/>
      <c r="F15" s="11"/>
      <c r="G15" s="12" t="s">
        <v>328</v>
      </c>
      <c r="H15" s="4"/>
      <c r="I15" s="4"/>
      <c r="J15" s="4"/>
      <c r="K15" s="4"/>
      <c r="L15" s="4"/>
      <c r="M15" s="4"/>
      <c r="N15" s="4"/>
    </row>
  </sheetData>
  <sheetProtection/>
  <mergeCells count="19">
    <mergeCell ref="A1:N1"/>
    <mergeCell ref="B2:D2"/>
    <mergeCell ref="B3:E3"/>
    <mergeCell ref="F3:I3"/>
    <mergeCell ref="J3:M3"/>
    <mergeCell ref="A3:A5"/>
    <mergeCell ref="B4:B5"/>
    <mergeCell ref="C4:C5"/>
    <mergeCell ref="D4:D5"/>
    <mergeCell ref="E4:E5"/>
    <mergeCell ref="F4:F5"/>
    <mergeCell ref="G4:G5"/>
    <mergeCell ref="H4:H5"/>
    <mergeCell ref="I4:I5"/>
    <mergeCell ref="J4:J5"/>
    <mergeCell ref="K4:K5"/>
    <mergeCell ref="L4:L5"/>
    <mergeCell ref="M4:M5"/>
    <mergeCell ref="N3:N5"/>
  </mergeCells>
  <printOptions/>
  <pageMargins left="0.75" right="0.75" top="1" bottom="1" header="0.5" footer="0.5"/>
  <pageSetup horizontalDpi="300" verticalDpi="300"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L21"/>
  <sheetViews>
    <sheetView zoomScaleSheetLayoutView="100" workbookViewId="0" topLeftCell="A1">
      <selection activeCell="K13" sqref="K13"/>
    </sheetView>
  </sheetViews>
  <sheetFormatPr defaultColWidth="9.140625" defaultRowHeight="12.75"/>
  <cols>
    <col min="1" max="1" width="31.00390625" style="99" customWidth="1"/>
    <col min="2" max="2" width="14.00390625" style="99" customWidth="1"/>
    <col min="3" max="3" width="11.57421875" style="99" customWidth="1"/>
    <col min="4" max="4" width="11.8515625" style="99" customWidth="1"/>
    <col min="5" max="5" width="13.7109375" style="99" customWidth="1"/>
    <col min="6" max="6" width="11.8515625" style="99" customWidth="1"/>
    <col min="7" max="11" width="12.28125" style="99" customWidth="1"/>
    <col min="12" max="12" width="10.8515625" style="99" customWidth="1"/>
    <col min="13" max="16384" width="9.140625" style="99" customWidth="1"/>
  </cols>
  <sheetData>
    <row r="1" spans="1:12" s="99" customFormat="1" ht="28.5" customHeight="1">
      <c r="A1" s="144" t="s">
        <v>329</v>
      </c>
      <c r="B1" s="144"/>
      <c r="C1" s="144"/>
      <c r="D1" s="144"/>
      <c r="E1" s="144"/>
      <c r="F1" s="144"/>
      <c r="G1" s="144"/>
      <c r="H1" s="144"/>
      <c r="I1" s="144"/>
      <c r="J1" s="144"/>
      <c r="K1" s="144"/>
      <c r="L1" s="144"/>
    </row>
    <row r="2" spans="1:12" s="99" customFormat="1" ht="18" customHeight="1">
      <c r="A2" s="145" t="s">
        <v>330</v>
      </c>
      <c r="B2" s="146"/>
      <c r="C2" s="146"/>
      <c r="D2" s="146"/>
      <c r="E2" s="147"/>
      <c r="F2" s="148" t="s">
        <v>273</v>
      </c>
      <c r="G2" s="145"/>
      <c r="H2" s="145"/>
      <c r="I2" s="145"/>
      <c r="J2" s="145"/>
      <c r="K2" s="162" t="s">
        <v>1</v>
      </c>
      <c r="L2" s="145"/>
    </row>
    <row r="3" spans="1:12" s="99" customFormat="1" ht="18" customHeight="1">
      <c r="A3" s="149" t="s">
        <v>276</v>
      </c>
      <c r="B3" s="150" t="s">
        <v>331</v>
      </c>
      <c r="C3" s="150" t="s">
        <v>332</v>
      </c>
      <c r="D3" s="150" t="s">
        <v>333</v>
      </c>
      <c r="E3" s="150" t="s">
        <v>334</v>
      </c>
      <c r="F3" s="150" t="s">
        <v>335</v>
      </c>
      <c r="G3" s="150" t="s">
        <v>336</v>
      </c>
      <c r="H3" s="150"/>
      <c r="I3" s="150"/>
      <c r="J3" s="150"/>
      <c r="K3" s="150"/>
      <c r="L3" s="150" t="s">
        <v>36</v>
      </c>
    </row>
    <row r="4" spans="1:12" s="99" customFormat="1" ht="18" customHeight="1">
      <c r="A4" s="149"/>
      <c r="B4" s="150"/>
      <c r="C4" s="150"/>
      <c r="D4" s="150"/>
      <c r="E4" s="150"/>
      <c r="F4" s="150"/>
      <c r="G4" s="151" t="s">
        <v>296</v>
      </c>
      <c r="H4" s="151" t="s">
        <v>306</v>
      </c>
      <c r="I4" s="151" t="s">
        <v>307</v>
      </c>
      <c r="J4" s="151" t="s">
        <v>308</v>
      </c>
      <c r="K4" s="151" t="s">
        <v>309</v>
      </c>
      <c r="L4" s="150"/>
    </row>
    <row r="5" spans="1:12" s="99" customFormat="1" ht="18" customHeight="1">
      <c r="A5" s="152" t="str">
        <f>'4)自建代建项目开发成本预算表（年）'!B3</f>
        <v>三江农场新埠洋大排沟硬化工程</v>
      </c>
      <c r="B5" s="149" t="s">
        <v>337</v>
      </c>
      <c r="C5" s="149" t="s">
        <v>338</v>
      </c>
      <c r="D5" s="153">
        <v>2019.01</v>
      </c>
      <c r="E5" s="154">
        <f>'4)自建代建项目开发成本预算表（年）'!D7</f>
        <v>4131500</v>
      </c>
      <c r="F5" s="154">
        <f>'4)自建代建项目开发成本预算表（年）'!B7</f>
        <v>2222385.5</v>
      </c>
      <c r="G5" s="155">
        <f>SUM(H5:K5)</f>
        <v>1894520</v>
      </c>
      <c r="H5" s="154">
        <f>'4)自建代建项目开发成本预算表（年）'!C7/4</f>
        <v>473630</v>
      </c>
      <c r="I5" s="154">
        <f>'4)自建代建项目开发成本预算表（年）'!C7/4</f>
        <v>473630</v>
      </c>
      <c r="J5" s="154">
        <f>'4)自建代建项目开发成本预算表（年）'!C7/4</f>
        <v>473630</v>
      </c>
      <c r="K5" s="154">
        <f>'4)自建代建项目开发成本预算表（年）'!C7/4</f>
        <v>473630</v>
      </c>
      <c r="L5" s="145"/>
    </row>
    <row r="6" spans="1:12" s="99" customFormat="1" ht="18" customHeight="1">
      <c r="A6" s="152" t="str">
        <f>'4)自建代建项目开发成本预算表（年）'!E3</f>
        <v>三江农场新埠洋菜篮子基地建设项目</v>
      </c>
      <c r="B6" s="149" t="s">
        <v>337</v>
      </c>
      <c r="C6" s="149" t="s">
        <v>338</v>
      </c>
      <c r="D6" s="149">
        <v>2019.01</v>
      </c>
      <c r="E6" s="154">
        <f>'4)自建代建项目开发成本预算表（年）'!G7</f>
        <v>14132600</v>
      </c>
      <c r="F6" s="154">
        <f>'4)自建代建项目开发成本预算表（年）'!E7</f>
        <v>7821091.5</v>
      </c>
      <c r="G6" s="155">
        <f>SUM(H6:K6)</f>
        <v>6311480</v>
      </c>
      <c r="H6" s="154">
        <f>'4)自建代建项目开发成本预算表（年）'!F7/4</f>
        <v>1577870</v>
      </c>
      <c r="I6" s="154">
        <f>'4)自建代建项目开发成本预算表（年）'!F7/4</f>
        <v>1577870</v>
      </c>
      <c r="J6" s="154">
        <f>'4)自建代建项目开发成本预算表（年）'!F7/4</f>
        <v>1577870</v>
      </c>
      <c r="K6" s="154">
        <f>'4)自建代建项目开发成本预算表（年）'!F7/4</f>
        <v>1577870</v>
      </c>
      <c r="L6" s="145"/>
    </row>
    <row r="7" spans="1:12" s="99" customFormat="1" ht="18" customHeight="1">
      <c r="A7" s="152" t="str">
        <f>'4)自建代建项目开发成本预算表（年）'!K3</f>
        <v>三江农场村道小巷硬化工程</v>
      </c>
      <c r="B7" s="149" t="s">
        <v>337</v>
      </c>
      <c r="C7" s="149" t="s">
        <v>338</v>
      </c>
      <c r="D7" s="149">
        <v>2019.03</v>
      </c>
      <c r="E7" s="154">
        <f>'4)自建代建项目开发成本预算表（年）'!M7</f>
        <v>31536700.030000005</v>
      </c>
      <c r="F7" s="154">
        <f>'4)自建代建项目开发成本预算表（年）'!K7</f>
        <v>21422935</v>
      </c>
      <c r="G7" s="155">
        <f aca="true" t="shared" si="0" ref="G7:G15">SUM(H7:K7)</f>
        <v>10102561.559999999</v>
      </c>
      <c r="H7" s="154">
        <f>'4)自建代建项目开发成本预算表（年）'!L7/4</f>
        <v>2525640.3899999997</v>
      </c>
      <c r="I7" s="154">
        <f>'4)自建代建项目开发成本预算表（年）'!L7/4</f>
        <v>2525640.3899999997</v>
      </c>
      <c r="J7" s="154">
        <f>'4)自建代建项目开发成本预算表（年）'!L7/4</f>
        <v>2525640.3899999997</v>
      </c>
      <c r="K7" s="154">
        <f>'4)自建代建项目开发成本预算表（年）'!L7/4</f>
        <v>2525640.3899999997</v>
      </c>
      <c r="L7" s="145"/>
    </row>
    <row r="8" spans="1:12" s="99" customFormat="1" ht="18" customHeight="1">
      <c r="A8" s="152" t="str">
        <f>'4)自建代建项目开发成本预算表（年）'!N3</f>
        <v>三江农场乡村道路建设项目</v>
      </c>
      <c r="B8" s="149" t="s">
        <v>337</v>
      </c>
      <c r="C8" s="149" t="s">
        <v>338</v>
      </c>
      <c r="D8" s="149">
        <v>2019.04</v>
      </c>
      <c r="E8" s="154">
        <f>'4)自建代建项目开发成本预算表（年）'!P7</f>
        <v>16068221.689999998</v>
      </c>
      <c r="F8" s="154">
        <f>'4)自建代建项目开发成本预算表（年）'!N7</f>
        <v>8501322.8</v>
      </c>
      <c r="G8" s="155">
        <f t="shared" si="0"/>
        <v>7566898.8900000015</v>
      </c>
      <c r="H8" s="154">
        <f>'4)自建代建项目开发成本预算表（年）'!O7/4</f>
        <v>1891724.7225000004</v>
      </c>
      <c r="I8" s="154">
        <f>'4)自建代建项目开发成本预算表（年）'!O7/4</f>
        <v>1891724.7225000004</v>
      </c>
      <c r="J8" s="154">
        <f>'4)自建代建项目开发成本预算表（年）'!O7/4</f>
        <v>1891724.7225000004</v>
      </c>
      <c r="K8" s="154">
        <f>'4)自建代建项目开发成本预算表（年）'!O7/4</f>
        <v>1891724.7225000004</v>
      </c>
      <c r="L8" s="145"/>
    </row>
    <row r="9" spans="1:12" s="99" customFormat="1" ht="18" customHeight="1">
      <c r="A9" s="152" t="str">
        <f>'4)自建代建项目开发成本预算表（年）'!Q3</f>
        <v>三江农场职工培训学校项目</v>
      </c>
      <c r="B9" s="149" t="s">
        <v>337</v>
      </c>
      <c r="C9" s="149" t="s">
        <v>338</v>
      </c>
      <c r="D9" s="153">
        <v>2019.01</v>
      </c>
      <c r="E9" s="154">
        <f>'4)自建代建项目开发成本预算表（年）'!S7</f>
        <v>6869433.33</v>
      </c>
      <c r="F9" s="154">
        <f>'4)自建代建项目开发成本预算表（年）'!Q7</f>
        <v>5035246.5</v>
      </c>
      <c r="G9" s="155">
        <f t="shared" si="0"/>
        <v>1920126.7799999998</v>
      </c>
      <c r="H9" s="154">
        <f>'4)自建代建项目开发成本预算表（年）'!R7/4</f>
        <v>480031.69499999995</v>
      </c>
      <c r="I9" s="154">
        <f>'4)自建代建项目开发成本预算表（年）'!R7/4</f>
        <v>480031.69499999995</v>
      </c>
      <c r="J9" s="154">
        <f>'4)自建代建项目开发成本预算表（年）'!R7/4</f>
        <v>480031.69499999995</v>
      </c>
      <c r="K9" s="154">
        <f>'4)自建代建项目开发成本预算表（年）'!R7/4</f>
        <v>480031.69499999995</v>
      </c>
      <c r="L9" s="145"/>
    </row>
    <row r="10" spans="1:12" s="99" customFormat="1" ht="18" customHeight="1">
      <c r="A10" s="152" t="str">
        <f>'4)自建代建项目开发成本预算表（年）'!T3</f>
        <v>三江农场美成大道损毁修复工程</v>
      </c>
      <c r="B10" s="149" t="s">
        <v>337</v>
      </c>
      <c r="C10" s="149" t="s">
        <v>338</v>
      </c>
      <c r="D10" s="149">
        <v>2019.01</v>
      </c>
      <c r="E10" s="154">
        <f>'4)自建代建项目开发成本预算表（年）'!V7</f>
        <v>2596394.11</v>
      </c>
      <c r="F10" s="154">
        <f>'4)自建代建项目开发成本预算表（年）'!T7</f>
        <v>2294969.59</v>
      </c>
      <c r="G10" s="155">
        <f t="shared" si="0"/>
        <v>253945.65</v>
      </c>
      <c r="H10" s="154">
        <f>'4)自建代建项目开发成本预算表（年）'!U7/4</f>
        <v>63486.4125</v>
      </c>
      <c r="I10" s="154">
        <f>'4)自建代建项目开发成本预算表（年）'!U7/4</f>
        <v>63486.4125</v>
      </c>
      <c r="J10" s="154">
        <f>'4)自建代建项目开发成本预算表（年）'!U7/4</f>
        <v>63486.4125</v>
      </c>
      <c r="K10" s="154">
        <f>'4)自建代建项目开发成本预算表（年）'!U7/4</f>
        <v>63486.4125</v>
      </c>
      <c r="L10" s="145"/>
    </row>
    <row r="11" spans="1:12" s="99" customFormat="1" ht="18" customHeight="1">
      <c r="A11" s="152" t="str">
        <f>'4)自建代建项目开发成本预算表（年）'!W3</f>
        <v>三江农场南洋水库三防路改造工程</v>
      </c>
      <c r="B11" s="149" t="s">
        <v>337</v>
      </c>
      <c r="C11" s="149" t="s">
        <v>338</v>
      </c>
      <c r="D11" s="149">
        <v>2016.8</v>
      </c>
      <c r="E11" s="154">
        <f>'4)自建代建项目开发成本预算表（年）'!Y7</f>
        <v>1155279.66</v>
      </c>
      <c r="F11" s="154">
        <f>'4)自建代建项目开发成本预算表（年）'!W7</f>
        <v>1136088.79</v>
      </c>
      <c r="G11" s="155">
        <f t="shared" si="0"/>
        <v>86828.25</v>
      </c>
      <c r="H11" s="154">
        <f>'4)自建代建项目开发成本预算表（年）'!X7/4</f>
        <v>21707.0625</v>
      </c>
      <c r="I11" s="154">
        <f>'4)自建代建项目开发成本预算表（年）'!X7/4</f>
        <v>21707.0625</v>
      </c>
      <c r="J11" s="154">
        <f>'4)自建代建项目开发成本预算表（年）'!X7/4</f>
        <v>21707.0625</v>
      </c>
      <c r="K11" s="154">
        <f>'4)自建代建项目开发成本预算表（年）'!X7/4</f>
        <v>21707.0625</v>
      </c>
      <c r="L11" s="145"/>
    </row>
    <row r="12" spans="1:12" s="99" customFormat="1" ht="18" customHeight="1">
      <c r="A12" s="156" t="str">
        <f>'4)自建代建项目开发成本预算表（年）'!Z3</f>
        <v>职工培训学校外围设施</v>
      </c>
      <c r="B12" s="89" t="s">
        <v>339</v>
      </c>
      <c r="C12" s="157" t="s">
        <v>340</v>
      </c>
      <c r="D12" s="89" t="s">
        <v>341</v>
      </c>
      <c r="E12" s="120">
        <f>'4)自建代建项目开发成本预算表（年）'!AB7</f>
        <v>1850000</v>
      </c>
      <c r="F12" s="154">
        <v>0</v>
      </c>
      <c r="G12" s="155">
        <f>H12+I12+J12+K12</f>
        <v>1850000</v>
      </c>
      <c r="H12" s="120">
        <f>40000</f>
        <v>40000</v>
      </c>
      <c r="I12" s="120">
        <f>350000</f>
        <v>350000</v>
      </c>
      <c r="J12" s="120">
        <f>260000+500000</f>
        <v>760000</v>
      </c>
      <c r="K12" s="163">
        <f>200000+500000</f>
        <v>700000</v>
      </c>
      <c r="L12" s="145"/>
    </row>
    <row r="13" spans="1:12" s="99" customFormat="1" ht="18" customHeight="1">
      <c r="A13" s="152"/>
      <c r="B13" s="149"/>
      <c r="C13" s="149"/>
      <c r="D13" s="149"/>
      <c r="E13" s="154"/>
      <c r="F13" s="154"/>
      <c r="G13" s="155"/>
      <c r="H13" s="154"/>
      <c r="I13" s="154"/>
      <c r="J13" s="154"/>
      <c r="K13" s="154"/>
      <c r="L13" s="145"/>
    </row>
    <row r="14" spans="1:12" s="99" customFormat="1" ht="18" customHeight="1">
      <c r="A14" s="152"/>
      <c r="B14" s="149"/>
      <c r="C14" s="149"/>
      <c r="D14" s="149"/>
      <c r="E14" s="154"/>
      <c r="F14" s="154"/>
      <c r="G14" s="155"/>
      <c r="H14" s="154"/>
      <c r="I14" s="154"/>
      <c r="J14" s="154"/>
      <c r="K14" s="154"/>
      <c r="L14" s="145"/>
    </row>
    <row r="15" spans="1:12" s="99" customFormat="1" ht="18" customHeight="1">
      <c r="A15" s="152"/>
      <c r="B15" s="149"/>
      <c r="C15" s="158"/>
      <c r="D15" s="149"/>
      <c r="E15" s="154"/>
      <c r="F15" s="154"/>
      <c r="G15" s="155"/>
      <c r="H15" s="154"/>
      <c r="I15" s="154"/>
      <c r="J15" s="154"/>
      <c r="K15" s="154"/>
      <c r="L15" s="145"/>
    </row>
    <row r="16" spans="1:12" s="99" customFormat="1" ht="18" customHeight="1">
      <c r="A16" s="152"/>
      <c r="B16" s="149"/>
      <c r="C16" s="158"/>
      <c r="D16" s="149"/>
      <c r="E16" s="154"/>
      <c r="F16" s="154"/>
      <c r="G16" s="155"/>
      <c r="H16" s="154"/>
      <c r="I16" s="154"/>
      <c r="J16" s="154"/>
      <c r="K16" s="154"/>
      <c r="L16" s="145"/>
    </row>
    <row r="17" spans="1:12" s="99" customFormat="1" ht="18" customHeight="1">
      <c r="A17" s="159" t="s">
        <v>342</v>
      </c>
      <c r="B17" s="145"/>
      <c r="C17" s="145"/>
      <c r="D17" s="145"/>
      <c r="E17" s="160">
        <f>SUM(E5:E16)</f>
        <v>78340128.82</v>
      </c>
      <c r="F17" s="160">
        <f aca="true" t="shared" si="1" ref="F17:K17">SUM(F5:F16)</f>
        <v>48434039.68</v>
      </c>
      <c r="G17" s="160">
        <f t="shared" si="1"/>
        <v>29986361.13</v>
      </c>
      <c r="H17" s="160">
        <f t="shared" si="1"/>
        <v>7074090.2825</v>
      </c>
      <c r="I17" s="160">
        <f t="shared" si="1"/>
        <v>7384090.2825</v>
      </c>
      <c r="J17" s="160">
        <f t="shared" si="1"/>
        <v>7794090.2825</v>
      </c>
      <c r="K17" s="160">
        <f t="shared" si="1"/>
        <v>7734090.2825</v>
      </c>
      <c r="L17" s="145"/>
    </row>
    <row r="18" spans="1:12" s="99" customFormat="1" ht="18" customHeight="1">
      <c r="A18" s="145"/>
      <c r="B18" s="161" t="s">
        <v>343</v>
      </c>
      <c r="C18" s="145"/>
      <c r="D18" s="145"/>
      <c r="E18" s="145"/>
      <c r="F18" s="152" t="s">
        <v>344</v>
      </c>
      <c r="G18" s="145"/>
      <c r="H18" s="145"/>
      <c r="I18" s="145"/>
      <c r="J18" s="145"/>
      <c r="K18" s="145"/>
      <c r="L18" s="145"/>
    </row>
    <row r="19" spans="1:12" s="99" customFormat="1" ht="18" customHeight="1">
      <c r="A19" s="145"/>
      <c r="B19" s="145"/>
      <c r="C19" s="145"/>
      <c r="D19" s="145"/>
      <c r="E19" s="145"/>
      <c r="F19" s="145"/>
      <c r="G19" s="145"/>
      <c r="H19" s="145"/>
      <c r="I19" s="145"/>
      <c r="J19" s="145"/>
      <c r="K19" s="145"/>
      <c r="L19" s="145"/>
    </row>
    <row r="20" spans="1:12" s="99" customFormat="1" ht="18" customHeight="1">
      <c r="A20" s="145"/>
      <c r="B20" s="145"/>
      <c r="C20" s="145"/>
      <c r="D20" s="145"/>
      <c r="E20" s="145"/>
      <c r="F20" s="145"/>
      <c r="G20" s="145"/>
      <c r="H20" s="145"/>
      <c r="I20" s="145"/>
      <c r="J20" s="145"/>
      <c r="K20" s="145"/>
      <c r="L20" s="145"/>
    </row>
    <row r="21" spans="1:12" s="99" customFormat="1" ht="18" customHeight="1">
      <c r="A21" s="145"/>
      <c r="B21" s="145"/>
      <c r="C21" s="145"/>
      <c r="D21" s="145"/>
      <c r="E21" s="145"/>
      <c r="F21" s="145"/>
      <c r="G21" s="145"/>
      <c r="H21" s="145"/>
      <c r="I21" s="145"/>
      <c r="J21" s="145"/>
      <c r="K21" s="145"/>
      <c r="L21" s="145"/>
    </row>
  </sheetData>
  <sheetProtection/>
  <protectedRanges>
    <protectedRange sqref="G5:G17 E17:K17" name="区域1"/>
  </protectedRanges>
  <mergeCells count="9">
    <mergeCell ref="A1:L1"/>
    <mergeCell ref="G3:K3"/>
    <mergeCell ref="A3:A4"/>
    <mergeCell ref="B3:B4"/>
    <mergeCell ref="C3:C4"/>
    <mergeCell ref="D3:D4"/>
    <mergeCell ref="E3:E4"/>
    <mergeCell ref="F3:F4"/>
    <mergeCell ref="L3:L4"/>
  </mergeCells>
  <printOptions/>
  <pageMargins left="0.75" right="0.75" top="0.98" bottom="0.98" header="0.51" footer="0.51"/>
  <pageSetup fitToHeight="1" fitToWidth="1" orientation="landscape" paperSize="9" scale="74"/>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O71"/>
  <sheetViews>
    <sheetView zoomScaleSheetLayoutView="100" workbookViewId="0" topLeftCell="A2">
      <pane xSplit="1" ySplit="6" topLeftCell="W38" activePane="bottomRight" state="frozen"/>
      <selection pane="bottomRight" activeCell="AB52" sqref="AB52"/>
    </sheetView>
  </sheetViews>
  <sheetFormatPr defaultColWidth="9.140625" defaultRowHeight="12.75"/>
  <cols>
    <col min="1" max="1" width="28.57421875" style="100" customWidth="1"/>
    <col min="2" max="2" width="16.7109375" style="101" customWidth="1"/>
    <col min="3" max="3" width="16.7109375" style="100" customWidth="1"/>
    <col min="4" max="4" width="13.28125" style="100" customWidth="1"/>
    <col min="5" max="5" width="16.7109375" style="100" customWidth="1"/>
    <col min="6" max="6" width="10.8515625" style="100" customWidth="1"/>
    <col min="7" max="7" width="15.57421875" style="100" customWidth="1"/>
    <col min="8" max="10" width="16.7109375" style="100" hidden="1" customWidth="1"/>
    <col min="11" max="11" width="13.00390625" style="100" customWidth="1"/>
    <col min="12" max="12" width="22.00390625" style="100" customWidth="1"/>
    <col min="13" max="13" width="12.28125" style="100" customWidth="1"/>
    <col min="14" max="15" width="16.7109375" style="100" customWidth="1"/>
    <col min="16" max="16" width="19.421875" style="100" customWidth="1"/>
    <col min="17" max="28" width="16.7109375" style="100" customWidth="1"/>
    <col min="29" max="29" width="14.00390625" style="100" customWidth="1"/>
    <col min="30" max="16384" width="9.140625" style="100" customWidth="1"/>
  </cols>
  <sheetData>
    <row r="1" spans="1:41" s="99" customFormat="1" ht="29.25" customHeight="1">
      <c r="A1" s="102" t="s">
        <v>345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0"/>
      <c r="AE1" s="100"/>
      <c r="AF1" s="100"/>
      <c r="AG1" s="100"/>
      <c r="AH1" s="100"/>
      <c r="AI1" s="100"/>
      <c r="AJ1" s="100"/>
      <c r="AK1" s="100"/>
      <c r="AL1" s="100"/>
      <c r="AM1" s="100"/>
      <c r="AN1" s="100"/>
      <c r="AO1" s="100"/>
    </row>
    <row r="2" spans="1:41" s="99" customFormat="1" ht="18" customHeight="1">
      <c r="A2" s="103" t="s">
        <v>330</v>
      </c>
      <c r="B2" s="104"/>
      <c r="C2" s="105"/>
      <c r="D2" s="106"/>
      <c r="E2" s="103"/>
      <c r="F2" s="103"/>
      <c r="G2" s="103"/>
      <c r="H2" s="103"/>
      <c r="I2" s="103"/>
      <c r="J2" s="103"/>
      <c r="K2" s="103"/>
      <c r="L2" s="125" t="s">
        <v>273</v>
      </c>
      <c r="M2" s="100"/>
      <c r="N2" s="103"/>
      <c r="O2" s="103"/>
      <c r="P2" s="103"/>
      <c r="Q2" s="126"/>
      <c r="R2" s="126"/>
      <c r="S2" s="126" t="s">
        <v>1</v>
      </c>
      <c r="T2" s="126"/>
      <c r="U2" s="126"/>
      <c r="V2" s="126" t="s">
        <v>1</v>
      </c>
      <c r="W2" s="126"/>
      <c r="X2" s="126"/>
      <c r="Y2" s="126" t="s">
        <v>1</v>
      </c>
      <c r="Z2" s="126"/>
      <c r="AA2" s="126"/>
      <c r="AB2" s="126" t="s">
        <v>1</v>
      </c>
      <c r="AC2" s="103"/>
      <c r="AD2" s="100"/>
      <c r="AE2" s="100"/>
      <c r="AF2" s="100"/>
      <c r="AG2" s="100"/>
      <c r="AH2" s="100"/>
      <c r="AI2" s="100"/>
      <c r="AJ2" s="100"/>
      <c r="AK2" s="100"/>
      <c r="AL2" s="100"/>
      <c r="AM2" s="100"/>
      <c r="AN2" s="100"/>
      <c r="AO2" s="100"/>
    </row>
    <row r="3" spans="1:41" s="99" customFormat="1" ht="18" customHeight="1">
      <c r="A3" s="89" t="s">
        <v>276</v>
      </c>
      <c r="B3" s="107" t="s">
        <v>346</v>
      </c>
      <c r="C3" s="108"/>
      <c r="D3" s="109"/>
      <c r="E3" s="107" t="s">
        <v>347</v>
      </c>
      <c r="F3" s="108"/>
      <c r="G3" s="109"/>
      <c r="H3" s="107" t="s">
        <v>348</v>
      </c>
      <c r="I3" s="108"/>
      <c r="J3" s="109"/>
      <c r="K3" s="107" t="s">
        <v>349</v>
      </c>
      <c r="L3" s="108"/>
      <c r="M3" s="109"/>
      <c r="N3" s="107" t="s">
        <v>350</v>
      </c>
      <c r="O3" s="108"/>
      <c r="P3" s="109"/>
      <c r="Q3" s="107" t="s">
        <v>351</v>
      </c>
      <c r="R3" s="108"/>
      <c r="S3" s="109"/>
      <c r="T3" s="107" t="s">
        <v>352</v>
      </c>
      <c r="U3" s="108"/>
      <c r="V3" s="109"/>
      <c r="W3" s="108" t="s">
        <v>353</v>
      </c>
      <c r="X3" s="108"/>
      <c r="Y3" s="109"/>
      <c r="Z3" s="134" t="s">
        <v>354</v>
      </c>
      <c r="AA3" s="134"/>
      <c r="AB3" s="135"/>
      <c r="AC3" s="89" t="s">
        <v>36</v>
      </c>
      <c r="AD3" s="100"/>
      <c r="AE3" s="100"/>
      <c r="AF3" s="100"/>
      <c r="AG3" s="100"/>
      <c r="AH3" s="100"/>
      <c r="AI3" s="100"/>
      <c r="AJ3" s="100"/>
      <c r="AK3" s="100"/>
      <c r="AL3" s="100"/>
      <c r="AM3" s="100"/>
      <c r="AN3" s="100"/>
      <c r="AO3" s="100"/>
    </row>
    <row r="4" spans="1:41" s="99" customFormat="1" ht="18" customHeight="1">
      <c r="A4" s="89"/>
      <c r="B4" s="110" t="s">
        <v>335</v>
      </c>
      <c r="C4" s="110" t="s">
        <v>336</v>
      </c>
      <c r="D4" s="111" t="s">
        <v>355</v>
      </c>
      <c r="E4" s="110" t="s">
        <v>335</v>
      </c>
      <c r="F4" s="110" t="s">
        <v>336</v>
      </c>
      <c r="G4" s="111" t="s">
        <v>355</v>
      </c>
      <c r="H4" s="110" t="s">
        <v>335</v>
      </c>
      <c r="I4" s="110" t="s">
        <v>336</v>
      </c>
      <c r="J4" s="111" t="s">
        <v>355</v>
      </c>
      <c r="K4" s="110" t="s">
        <v>335</v>
      </c>
      <c r="L4" s="110" t="s">
        <v>336</v>
      </c>
      <c r="M4" s="111" t="s">
        <v>355</v>
      </c>
      <c r="N4" s="110" t="s">
        <v>335</v>
      </c>
      <c r="O4" s="110" t="s">
        <v>336</v>
      </c>
      <c r="P4" s="111" t="s">
        <v>355</v>
      </c>
      <c r="Q4" s="110" t="s">
        <v>335</v>
      </c>
      <c r="R4" s="110" t="s">
        <v>336</v>
      </c>
      <c r="S4" s="111" t="s">
        <v>355</v>
      </c>
      <c r="T4" s="110" t="s">
        <v>335</v>
      </c>
      <c r="U4" s="110" t="s">
        <v>336</v>
      </c>
      <c r="V4" s="111" t="s">
        <v>355</v>
      </c>
      <c r="W4" s="111" t="s">
        <v>335</v>
      </c>
      <c r="X4" s="111" t="s">
        <v>336</v>
      </c>
      <c r="Y4" s="111" t="s">
        <v>355</v>
      </c>
      <c r="Z4" s="111" t="s">
        <v>335</v>
      </c>
      <c r="AA4" s="111" t="s">
        <v>336</v>
      </c>
      <c r="AB4" s="111" t="s">
        <v>355</v>
      </c>
      <c r="AC4" s="89"/>
      <c r="AD4" s="100"/>
      <c r="AE4" s="100"/>
      <c r="AF4" s="100"/>
      <c r="AG4" s="100"/>
      <c r="AH4" s="100"/>
      <c r="AI4" s="100"/>
      <c r="AJ4" s="100"/>
      <c r="AK4" s="100"/>
      <c r="AL4" s="100"/>
      <c r="AM4" s="100"/>
      <c r="AN4" s="100"/>
      <c r="AO4" s="100"/>
    </row>
    <row r="5" spans="1:41" s="99" customFormat="1" ht="18" customHeight="1">
      <c r="A5" s="111" t="s">
        <v>356</v>
      </c>
      <c r="B5" s="112" t="s">
        <v>357</v>
      </c>
      <c r="C5" s="113"/>
      <c r="D5" s="114"/>
      <c r="E5" s="112" t="s">
        <v>358</v>
      </c>
      <c r="F5" s="113"/>
      <c r="G5" s="114"/>
      <c r="H5" s="112"/>
      <c r="I5" s="113"/>
      <c r="J5" s="114"/>
      <c r="K5" s="112" t="s">
        <v>359</v>
      </c>
      <c r="L5" s="113"/>
      <c r="M5" s="114"/>
      <c r="N5" s="112" t="s">
        <v>360</v>
      </c>
      <c r="O5" s="113"/>
      <c r="P5" s="114"/>
      <c r="Q5" s="112" t="s">
        <v>361</v>
      </c>
      <c r="R5" s="113"/>
      <c r="S5" s="114"/>
      <c r="T5" s="112" t="s">
        <v>362</v>
      </c>
      <c r="U5" s="113"/>
      <c r="V5" s="114"/>
      <c r="W5" s="113" t="s">
        <v>363</v>
      </c>
      <c r="X5" s="113"/>
      <c r="Y5" s="114"/>
      <c r="Z5" s="136"/>
      <c r="AA5" s="136"/>
      <c r="AB5" s="137"/>
      <c r="AC5" s="121"/>
      <c r="AD5" s="100"/>
      <c r="AE5" s="100"/>
      <c r="AF5" s="100"/>
      <c r="AG5" s="100"/>
      <c r="AH5" s="100"/>
      <c r="AI5" s="100"/>
      <c r="AJ5" s="100"/>
      <c r="AK5" s="100"/>
      <c r="AL5" s="100"/>
      <c r="AM5" s="100"/>
      <c r="AN5" s="100"/>
      <c r="AO5" s="100"/>
    </row>
    <row r="6" spans="1:41" s="99" customFormat="1" ht="18" customHeight="1">
      <c r="A6" s="111" t="s">
        <v>364</v>
      </c>
      <c r="B6" s="115">
        <v>413.14</v>
      </c>
      <c r="C6" s="116"/>
      <c r="D6" s="116"/>
      <c r="E6" s="115">
        <v>1413.26</v>
      </c>
      <c r="F6" s="116"/>
      <c r="G6" s="116"/>
      <c r="H6" s="115"/>
      <c r="I6" s="116"/>
      <c r="J6" s="116"/>
      <c r="K6" s="115">
        <v>3153.67</v>
      </c>
      <c r="L6" s="116"/>
      <c r="M6" s="116"/>
      <c r="N6" s="115">
        <v>1606.82</v>
      </c>
      <c r="O6" s="116"/>
      <c r="P6" s="116"/>
      <c r="Q6" s="115">
        <v>686.94</v>
      </c>
      <c r="R6" s="116"/>
      <c r="S6" s="116"/>
      <c r="T6" s="115">
        <v>259.64</v>
      </c>
      <c r="U6" s="116"/>
      <c r="V6" s="116"/>
      <c r="W6" s="127">
        <v>115.54</v>
      </c>
      <c r="X6" s="116"/>
      <c r="Y6" s="116"/>
      <c r="Z6" s="138">
        <v>85</v>
      </c>
      <c r="AA6" s="139"/>
      <c r="AB6" s="139"/>
      <c r="AC6" s="121"/>
      <c r="AD6" s="100"/>
      <c r="AE6" s="100"/>
      <c r="AF6" s="100"/>
      <c r="AG6" s="100"/>
      <c r="AH6" s="100"/>
      <c r="AI6" s="100"/>
      <c r="AJ6" s="100"/>
      <c r="AK6" s="100"/>
      <c r="AL6" s="100"/>
      <c r="AM6" s="100"/>
      <c r="AN6" s="100"/>
      <c r="AO6" s="100"/>
    </row>
    <row r="7" spans="1:41" s="99" customFormat="1" ht="18" customHeight="1">
      <c r="A7" s="111" t="s">
        <v>365</v>
      </c>
      <c r="B7" s="117">
        <f aca="true" t="shared" si="0" ref="B7:U7">B8+B13+B41+B49+B58+B65</f>
        <v>2222385.5</v>
      </c>
      <c r="C7" s="117">
        <f t="shared" si="0"/>
        <v>1894520</v>
      </c>
      <c r="D7" s="118">
        <f t="shared" si="0"/>
        <v>4131500</v>
      </c>
      <c r="E7" s="117">
        <f t="shared" si="0"/>
        <v>7821091.5</v>
      </c>
      <c r="F7" s="117">
        <f t="shared" si="0"/>
        <v>6311480</v>
      </c>
      <c r="G7" s="117">
        <f t="shared" si="0"/>
        <v>14132600</v>
      </c>
      <c r="H7" s="117">
        <f t="shared" si="0"/>
        <v>0</v>
      </c>
      <c r="I7" s="117">
        <f t="shared" si="0"/>
        <v>0</v>
      </c>
      <c r="J7" s="117">
        <f t="shared" si="0"/>
        <v>0</v>
      </c>
      <c r="K7" s="117">
        <f t="shared" si="0"/>
        <v>21422935</v>
      </c>
      <c r="L7" s="117">
        <f t="shared" si="0"/>
        <v>10102561.559999999</v>
      </c>
      <c r="M7" s="117">
        <f t="shared" si="0"/>
        <v>31536700.030000005</v>
      </c>
      <c r="N7" s="117">
        <f t="shared" si="0"/>
        <v>8501322.8</v>
      </c>
      <c r="O7" s="117">
        <f t="shared" si="0"/>
        <v>7566898.8900000015</v>
      </c>
      <c r="P7" s="117">
        <f t="shared" si="0"/>
        <v>16068221.689999998</v>
      </c>
      <c r="Q7" s="117">
        <f t="shared" si="0"/>
        <v>5035246.5</v>
      </c>
      <c r="R7" s="118">
        <f t="shared" si="0"/>
        <v>1920126.7799999998</v>
      </c>
      <c r="S7" s="118">
        <f t="shared" si="0"/>
        <v>6869433.33</v>
      </c>
      <c r="T7" s="117">
        <f t="shared" si="0"/>
        <v>2294969.59</v>
      </c>
      <c r="U7" s="117">
        <f t="shared" si="0"/>
        <v>253945.65</v>
      </c>
      <c r="V7" s="118">
        <v>2596394.11</v>
      </c>
      <c r="W7" s="118">
        <v>1136088.79</v>
      </c>
      <c r="X7" s="118">
        <v>86828.25</v>
      </c>
      <c r="Y7" s="118">
        <v>1155279.66</v>
      </c>
      <c r="Z7" s="140"/>
      <c r="AA7" s="140">
        <f>AA13+AA41+AA49</f>
        <v>1850000</v>
      </c>
      <c r="AB7" s="140">
        <f>AB13+AB41+AB49</f>
        <v>1850000</v>
      </c>
      <c r="AC7" s="121"/>
      <c r="AD7" s="100"/>
      <c r="AE7" s="100"/>
      <c r="AF7" s="100"/>
      <c r="AG7" s="100"/>
      <c r="AH7" s="100"/>
      <c r="AI7" s="100"/>
      <c r="AJ7" s="100"/>
      <c r="AK7" s="100"/>
      <c r="AL7" s="100"/>
      <c r="AM7" s="100"/>
      <c r="AN7" s="100"/>
      <c r="AO7" s="100"/>
    </row>
    <row r="8" spans="1:41" s="99" customFormat="1" ht="18" customHeight="1">
      <c r="A8" s="119" t="s">
        <v>366</v>
      </c>
      <c r="B8" s="117">
        <f aca="true" t="shared" si="1" ref="B8:U8">SUM(B9:B12)</f>
        <v>0</v>
      </c>
      <c r="C8" s="117">
        <f t="shared" si="1"/>
        <v>0</v>
      </c>
      <c r="D8" s="117">
        <f t="shared" si="1"/>
        <v>0</v>
      </c>
      <c r="E8" s="117">
        <f t="shared" si="1"/>
        <v>0</v>
      </c>
      <c r="F8" s="117">
        <f t="shared" si="1"/>
        <v>0</v>
      </c>
      <c r="G8" s="117">
        <f t="shared" si="1"/>
        <v>0</v>
      </c>
      <c r="H8" s="117">
        <f t="shared" si="1"/>
        <v>0</v>
      </c>
      <c r="I8" s="117">
        <f t="shared" si="1"/>
        <v>0</v>
      </c>
      <c r="J8" s="117">
        <f t="shared" si="1"/>
        <v>0</v>
      </c>
      <c r="K8" s="117">
        <f t="shared" si="1"/>
        <v>0</v>
      </c>
      <c r="L8" s="117">
        <f t="shared" si="1"/>
        <v>0</v>
      </c>
      <c r="M8" s="117">
        <f t="shared" si="1"/>
        <v>0</v>
      </c>
      <c r="N8" s="117">
        <f t="shared" si="1"/>
        <v>0</v>
      </c>
      <c r="O8" s="117">
        <f t="shared" si="1"/>
        <v>0</v>
      </c>
      <c r="P8" s="117">
        <f t="shared" si="1"/>
        <v>0</v>
      </c>
      <c r="Q8" s="117">
        <f t="shared" si="1"/>
        <v>0</v>
      </c>
      <c r="R8" s="118">
        <f t="shared" si="1"/>
        <v>13089.29</v>
      </c>
      <c r="S8" s="118">
        <f t="shared" si="1"/>
        <v>13089.29</v>
      </c>
      <c r="T8" s="117">
        <f t="shared" si="1"/>
        <v>0</v>
      </c>
      <c r="U8" s="117">
        <f t="shared" si="1"/>
        <v>0</v>
      </c>
      <c r="V8" s="118"/>
      <c r="W8" s="118">
        <v>44271</v>
      </c>
      <c r="X8" s="118">
        <v>0</v>
      </c>
      <c r="Y8" s="118"/>
      <c r="Z8" s="118"/>
      <c r="AA8" s="118"/>
      <c r="AB8" s="118"/>
      <c r="AC8" s="121"/>
      <c r="AD8" s="100"/>
      <c r="AE8" s="100"/>
      <c r="AF8" s="100"/>
      <c r="AG8" s="100"/>
      <c r="AH8" s="100"/>
      <c r="AI8" s="100"/>
      <c r="AJ8" s="100"/>
      <c r="AK8" s="100"/>
      <c r="AL8" s="100"/>
      <c r="AM8" s="100"/>
      <c r="AN8" s="100"/>
      <c r="AO8" s="100"/>
    </row>
    <row r="9" spans="1:41" s="99" customFormat="1" ht="18" customHeight="1">
      <c r="A9" s="119" t="s">
        <v>367</v>
      </c>
      <c r="B9" s="120"/>
      <c r="C9" s="120"/>
      <c r="D9" s="120"/>
      <c r="E9" s="120"/>
      <c r="F9" s="120"/>
      <c r="G9" s="120"/>
      <c r="H9" s="120"/>
      <c r="I9" s="120"/>
      <c r="J9" s="120"/>
      <c r="K9" s="120"/>
      <c r="L9" s="120"/>
      <c r="M9" s="120"/>
      <c r="N9" s="120"/>
      <c r="O9" s="120"/>
      <c r="P9" s="120"/>
      <c r="Q9" s="120"/>
      <c r="R9" s="121"/>
      <c r="S9" s="121"/>
      <c r="T9" s="120"/>
      <c r="U9" s="120"/>
      <c r="V9" s="121"/>
      <c r="W9" s="121"/>
      <c r="X9" s="121"/>
      <c r="Y9" s="121"/>
      <c r="Z9" s="121"/>
      <c r="AA9" s="121"/>
      <c r="AB9" s="121"/>
      <c r="AC9" s="121"/>
      <c r="AD9" s="100"/>
      <c r="AE9" s="100"/>
      <c r="AF9" s="100"/>
      <c r="AG9" s="100"/>
      <c r="AH9" s="100"/>
      <c r="AI9" s="100"/>
      <c r="AJ9" s="100"/>
      <c r="AK9" s="100"/>
      <c r="AL9" s="100"/>
      <c r="AM9" s="100"/>
      <c r="AN9" s="100"/>
      <c r="AO9" s="100"/>
    </row>
    <row r="10" spans="1:41" s="99" customFormat="1" ht="18" customHeight="1">
      <c r="A10" s="119" t="s">
        <v>368</v>
      </c>
      <c r="B10" s="120"/>
      <c r="C10" s="120"/>
      <c r="D10" s="120"/>
      <c r="E10" s="120"/>
      <c r="F10" s="120"/>
      <c r="G10" s="120"/>
      <c r="H10" s="120"/>
      <c r="I10" s="120"/>
      <c r="J10" s="120"/>
      <c r="K10" s="120"/>
      <c r="L10" s="120"/>
      <c r="M10" s="120"/>
      <c r="N10" s="120"/>
      <c r="O10" s="120"/>
      <c r="P10" s="120"/>
      <c r="Q10" s="120"/>
      <c r="R10" s="121"/>
      <c r="S10" s="121"/>
      <c r="T10" s="120"/>
      <c r="U10" s="120"/>
      <c r="V10" s="121"/>
      <c r="W10" s="121">
        <v>44271</v>
      </c>
      <c r="X10" s="121"/>
      <c r="Y10" s="121"/>
      <c r="Z10" s="121"/>
      <c r="AA10" s="121"/>
      <c r="AB10" s="121"/>
      <c r="AC10" s="121"/>
      <c r="AD10" s="100"/>
      <c r="AE10" s="100"/>
      <c r="AF10" s="100"/>
      <c r="AG10" s="100"/>
      <c r="AH10" s="100"/>
      <c r="AI10" s="100"/>
      <c r="AJ10" s="100"/>
      <c r="AK10" s="100"/>
      <c r="AL10" s="100"/>
      <c r="AM10" s="100"/>
      <c r="AN10" s="100"/>
      <c r="AO10" s="100"/>
    </row>
    <row r="11" spans="1:41" s="99" customFormat="1" ht="18" customHeight="1" hidden="1">
      <c r="A11" s="119" t="s">
        <v>369</v>
      </c>
      <c r="B11" s="120"/>
      <c r="C11" s="120"/>
      <c r="D11" s="120"/>
      <c r="E11" s="120"/>
      <c r="F11" s="120"/>
      <c r="G11" s="120"/>
      <c r="H11" s="120"/>
      <c r="I11" s="120"/>
      <c r="J11" s="120"/>
      <c r="K11" s="120"/>
      <c r="L11" s="120"/>
      <c r="M11" s="120"/>
      <c r="N11" s="120"/>
      <c r="O11" s="120"/>
      <c r="P11" s="120"/>
      <c r="Q11" s="120"/>
      <c r="R11" s="121"/>
      <c r="S11" s="121"/>
      <c r="T11" s="120"/>
      <c r="U11" s="120"/>
      <c r="V11" s="121"/>
      <c r="W11" s="121"/>
      <c r="X11" s="121"/>
      <c r="Y11" s="121"/>
      <c r="Z11" s="121"/>
      <c r="AA11" s="121"/>
      <c r="AB11" s="121"/>
      <c r="AC11" s="121"/>
      <c r="AD11" s="100"/>
      <c r="AE11" s="100"/>
      <c r="AF11" s="100"/>
      <c r="AG11" s="100"/>
      <c r="AH11" s="100"/>
      <c r="AI11" s="100"/>
      <c r="AJ11" s="100"/>
      <c r="AK11" s="100"/>
      <c r="AL11" s="100"/>
      <c r="AM11" s="100"/>
      <c r="AN11" s="100"/>
      <c r="AO11" s="100"/>
    </row>
    <row r="12" spans="1:41" s="99" customFormat="1" ht="18" customHeight="1">
      <c r="A12" s="119" t="s">
        <v>370</v>
      </c>
      <c r="B12" s="120"/>
      <c r="C12" s="120"/>
      <c r="D12" s="120"/>
      <c r="E12" s="120"/>
      <c r="F12" s="120"/>
      <c r="G12" s="120"/>
      <c r="H12" s="120"/>
      <c r="I12" s="120"/>
      <c r="J12" s="120"/>
      <c r="K12" s="120"/>
      <c r="L12" s="120"/>
      <c r="M12" s="120"/>
      <c r="N12" s="120"/>
      <c r="O12" s="120"/>
      <c r="P12" s="120"/>
      <c r="Q12" s="120"/>
      <c r="R12" s="121">
        <v>13089.29</v>
      </c>
      <c r="S12" s="121">
        <v>13089.29</v>
      </c>
      <c r="T12" s="120"/>
      <c r="U12" s="120"/>
      <c r="V12" s="121"/>
      <c r="W12" s="121"/>
      <c r="X12" s="121"/>
      <c r="Y12" s="121"/>
      <c r="Z12" s="121"/>
      <c r="AA12" s="121"/>
      <c r="AB12" s="121"/>
      <c r="AC12" s="121"/>
      <c r="AD12" s="100"/>
      <c r="AE12" s="100"/>
      <c r="AF12" s="100"/>
      <c r="AG12" s="100"/>
      <c r="AH12" s="100"/>
      <c r="AI12" s="100"/>
      <c r="AJ12" s="100"/>
      <c r="AK12" s="100"/>
      <c r="AL12" s="100"/>
      <c r="AM12" s="100"/>
      <c r="AN12" s="100"/>
      <c r="AO12" s="100"/>
    </row>
    <row r="13" spans="1:41" s="99" customFormat="1" ht="18" customHeight="1">
      <c r="A13" s="119" t="s">
        <v>371</v>
      </c>
      <c r="B13" s="117">
        <f aca="true" t="shared" si="2" ref="B13:U13">SUM(B14:B40)</f>
        <v>222385.5</v>
      </c>
      <c r="C13" s="117">
        <f t="shared" si="2"/>
        <v>265020</v>
      </c>
      <c r="D13" s="118">
        <f t="shared" si="2"/>
        <v>460900</v>
      </c>
      <c r="E13" s="117">
        <f t="shared" si="2"/>
        <v>621091.5</v>
      </c>
      <c r="F13" s="117">
        <f t="shared" si="2"/>
        <v>941380</v>
      </c>
      <c r="G13" s="117">
        <f t="shared" si="2"/>
        <v>1562500</v>
      </c>
      <c r="H13" s="117">
        <f t="shared" si="2"/>
        <v>0</v>
      </c>
      <c r="I13" s="117">
        <f t="shared" si="2"/>
        <v>0</v>
      </c>
      <c r="J13" s="117">
        <f t="shared" si="2"/>
        <v>0</v>
      </c>
      <c r="K13" s="117">
        <f t="shared" si="2"/>
        <v>1422935</v>
      </c>
      <c r="L13" s="117">
        <f t="shared" si="2"/>
        <v>1934167.4</v>
      </c>
      <c r="M13" s="117">
        <f t="shared" si="2"/>
        <v>3368305.8699999996</v>
      </c>
      <c r="N13" s="117">
        <f t="shared" si="2"/>
        <v>845222.24</v>
      </c>
      <c r="O13" s="117">
        <f t="shared" si="2"/>
        <v>964609.63</v>
      </c>
      <c r="P13" s="117">
        <f t="shared" si="2"/>
        <v>1809831.8699999999</v>
      </c>
      <c r="Q13" s="117">
        <f t="shared" si="2"/>
        <v>588501</v>
      </c>
      <c r="R13" s="118">
        <f t="shared" si="2"/>
        <v>309408.54</v>
      </c>
      <c r="S13" s="118">
        <f t="shared" si="2"/>
        <v>811969.59</v>
      </c>
      <c r="T13" s="117">
        <f t="shared" si="2"/>
        <v>104192.33</v>
      </c>
      <c r="U13" s="117">
        <f t="shared" si="2"/>
        <v>108667.69</v>
      </c>
      <c r="V13" s="118">
        <v>252514.69</v>
      </c>
      <c r="W13" s="118">
        <v>111012.66</v>
      </c>
      <c r="X13" s="118">
        <v>48728.53</v>
      </c>
      <c r="Y13" s="118">
        <v>155165.81</v>
      </c>
      <c r="Z13" s="118"/>
      <c r="AA13" s="118">
        <f>SUM(AA14:AA40)</f>
        <v>60000</v>
      </c>
      <c r="AB13" s="118">
        <f>SUM(AB14:AB40)</f>
        <v>60000</v>
      </c>
      <c r="AC13" s="121"/>
      <c r="AD13" s="100"/>
      <c r="AE13" s="100"/>
      <c r="AF13" s="100"/>
      <c r="AG13" s="100"/>
      <c r="AH13" s="100"/>
      <c r="AI13" s="100"/>
      <c r="AJ13" s="100"/>
      <c r="AK13" s="100"/>
      <c r="AL13" s="100"/>
      <c r="AM13" s="100"/>
      <c r="AN13" s="100"/>
      <c r="AO13" s="100"/>
    </row>
    <row r="14" spans="1:41" s="99" customFormat="1" ht="18" customHeight="1">
      <c r="A14" s="119" t="s">
        <v>372</v>
      </c>
      <c r="B14" s="121">
        <v>110528</v>
      </c>
      <c r="C14" s="121">
        <v>19920</v>
      </c>
      <c r="D14" s="121">
        <v>112400</v>
      </c>
      <c r="E14" s="121">
        <v>388534</v>
      </c>
      <c r="F14" s="121">
        <v>68980</v>
      </c>
      <c r="G14" s="121">
        <v>457500</v>
      </c>
      <c r="H14" s="120"/>
      <c r="I14" s="120"/>
      <c r="J14" s="120"/>
      <c r="K14" s="121">
        <v>960000</v>
      </c>
      <c r="L14" s="121">
        <v>240000</v>
      </c>
      <c r="M14" s="121">
        <v>1225464.68</v>
      </c>
      <c r="N14" s="121">
        <v>553441.9</v>
      </c>
      <c r="O14" s="121">
        <v>30968.32</v>
      </c>
      <c r="P14" s="121">
        <v>584410.22</v>
      </c>
      <c r="Q14" s="121">
        <v>216635</v>
      </c>
      <c r="R14" s="121"/>
      <c r="S14" s="121">
        <v>209100</v>
      </c>
      <c r="T14" s="121">
        <v>8845</v>
      </c>
      <c r="U14" s="121"/>
      <c r="V14" s="121">
        <v>56068.62</v>
      </c>
      <c r="W14" s="121">
        <v>38376</v>
      </c>
      <c r="X14" s="128"/>
      <c r="Y14" s="121">
        <v>40571.4</v>
      </c>
      <c r="Z14" s="121"/>
      <c r="AA14" s="121">
        <v>32000</v>
      </c>
      <c r="AB14" s="121">
        <v>32000</v>
      </c>
      <c r="AC14" s="120"/>
      <c r="AD14" s="100"/>
      <c r="AE14" s="100"/>
      <c r="AF14" s="100"/>
      <c r="AG14" s="100"/>
      <c r="AH14" s="100"/>
      <c r="AI14" s="100"/>
      <c r="AJ14" s="100"/>
      <c r="AK14" s="100"/>
      <c r="AL14" s="100"/>
      <c r="AM14" s="100"/>
      <c r="AN14" s="100"/>
      <c r="AO14" s="100"/>
    </row>
    <row r="15" spans="1:41" s="99" customFormat="1" ht="18" customHeight="1">
      <c r="A15" s="119" t="s">
        <v>373</v>
      </c>
      <c r="B15" s="121"/>
      <c r="C15" s="121"/>
      <c r="D15" s="120"/>
      <c r="E15" s="121"/>
      <c r="F15" s="121"/>
      <c r="G15" s="120"/>
      <c r="H15" s="120"/>
      <c r="I15" s="120"/>
      <c r="J15" s="120"/>
      <c r="K15" s="121"/>
      <c r="L15" s="121"/>
      <c r="M15" s="120"/>
      <c r="N15" s="121">
        <v>24000</v>
      </c>
      <c r="O15" s="121"/>
      <c r="P15" s="121">
        <v>24000</v>
      </c>
      <c r="Q15" s="121">
        <v>10400</v>
      </c>
      <c r="R15" s="121"/>
      <c r="S15" s="121">
        <v>10400</v>
      </c>
      <c r="T15" s="121"/>
      <c r="U15" s="121"/>
      <c r="V15" s="121">
        <v>5115.86</v>
      </c>
      <c r="W15" s="121"/>
      <c r="X15" s="129"/>
      <c r="Y15" s="121">
        <v>5162.39</v>
      </c>
      <c r="Z15" s="121"/>
      <c r="AA15" s="121"/>
      <c r="AB15" s="121"/>
      <c r="AC15" s="120"/>
      <c r="AD15" s="100"/>
      <c r="AE15" s="100"/>
      <c r="AF15" s="100"/>
      <c r="AG15" s="100"/>
      <c r="AH15" s="100"/>
      <c r="AI15" s="100"/>
      <c r="AJ15" s="100"/>
      <c r="AK15" s="100"/>
      <c r="AL15" s="100"/>
      <c r="AM15" s="100"/>
      <c r="AN15" s="100"/>
      <c r="AO15" s="100"/>
    </row>
    <row r="16" spans="1:41" s="99" customFormat="1" ht="18" customHeight="1">
      <c r="A16" s="119" t="s">
        <v>374</v>
      </c>
      <c r="B16" s="121"/>
      <c r="C16" s="121"/>
      <c r="D16" s="120"/>
      <c r="E16" s="121"/>
      <c r="F16" s="121"/>
      <c r="G16" s="120"/>
      <c r="H16" s="120"/>
      <c r="I16" s="120"/>
      <c r="J16" s="120"/>
      <c r="K16" s="121"/>
      <c r="L16" s="121"/>
      <c r="M16" s="120"/>
      <c r="N16" s="121"/>
      <c r="O16" s="121"/>
      <c r="P16" s="120"/>
      <c r="Q16" s="130">
        <v>2594</v>
      </c>
      <c r="R16" s="121"/>
      <c r="S16" s="121"/>
      <c r="T16" s="121"/>
      <c r="U16" s="121"/>
      <c r="V16" s="121"/>
      <c r="W16" s="121">
        <v>3680.7</v>
      </c>
      <c r="X16" s="129"/>
      <c r="Y16" s="121"/>
      <c r="Z16" s="121"/>
      <c r="AA16" s="121"/>
      <c r="AB16" s="121"/>
      <c r="AC16" s="120"/>
      <c r="AD16" s="100"/>
      <c r="AE16" s="100"/>
      <c r="AF16" s="100"/>
      <c r="AG16" s="100"/>
      <c r="AH16" s="100"/>
      <c r="AI16" s="100"/>
      <c r="AJ16" s="100"/>
      <c r="AK16" s="100"/>
      <c r="AL16" s="100"/>
      <c r="AM16" s="100"/>
      <c r="AN16" s="100"/>
      <c r="AO16" s="100"/>
    </row>
    <row r="17" spans="1:41" s="99" customFormat="1" ht="18" customHeight="1">
      <c r="A17" s="119" t="s">
        <v>375</v>
      </c>
      <c r="B17" s="121"/>
      <c r="C17" s="121">
        <v>11100</v>
      </c>
      <c r="D17" s="121">
        <v>11100</v>
      </c>
      <c r="E17" s="121"/>
      <c r="F17" s="121">
        <v>40100</v>
      </c>
      <c r="G17" s="121">
        <v>40100</v>
      </c>
      <c r="H17" s="120"/>
      <c r="I17" s="120"/>
      <c r="J17" s="120"/>
      <c r="K17" s="121">
        <v>49155</v>
      </c>
      <c r="L17" s="121"/>
      <c r="M17" s="121">
        <v>34852.89</v>
      </c>
      <c r="N17" s="121">
        <v>27368</v>
      </c>
      <c r="O17" s="121">
        <v>35395.35</v>
      </c>
      <c r="P17" s="121">
        <v>62763.35</v>
      </c>
      <c r="Q17" s="121">
        <v>1000</v>
      </c>
      <c r="R17" s="121">
        <v>40377.56</v>
      </c>
      <c r="S17" s="121">
        <v>41377.56</v>
      </c>
      <c r="T17" s="121"/>
      <c r="U17" s="121"/>
      <c r="V17" s="121">
        <v>16032.7</v>
      </c>
      <c r="W17" s="121">
        <v>6060.62</v>
      </c>
      <c r="X17" s="129">
        <v>2839.38</v>
      </c>
      <c r="Y17" s="121">
        <v>8900</v>
      </c>
      <c r="Z17" s="121"/>
      <c r="AA17" s="121"/>
      <c r="AB17" s="121"/>
      <c r="AC17" s="120"/>
      <c r="AD17" s="100"/>
      <c r="AE17" s="100"/>
      <c r="AF17" s="100"/>
      <c r="AG17" s="100"/>
      <c r="AH17" s="100"/>
      <c r="AI17" s="100"/>
      <c r="AJ17" s="100"/>
      <c r="AK17" s="100"/>
      <c r="AL17" s="100"/>
      <c r="AM17" s="100"/>
      <c r="AN17" s="100"/>
      <c r="AO17" s="100"/>
    </row>
    <row r="18" spans="1:41" s="99" customFormat="1" ht="18" customHeight="1">
      <c r="A18" s="119" t="s">
        <v>376</v>
      </c>
      <c r="B18" s="121">
        <v>14700</v>
      </c>
      <c r="C18" s="121"/>
      <c r="D18" s="121">
        <v>14700</v>
      </c>
      <c r="E18" s="121">
        <v>31500</v>
      </c>
      <c r="F18" s="121"/>
      <c r="G18" s="121">
        <v>31500</v>
      </c>
      <c r="H18" s="120"/>
      <c r="I18" s="120"/>
      <c r="J18" s="120"/>
      <c r="K18" s="121">
        <v>38800</v>
      </c>
      <c r="L18" s="121"/>
      <c r="M18" s="121">
        <v>38800</v>
      </c>
      <c r="N18" s="121">
        <v>23900</v>
      </c>
      <c r="O18" s="121"/>
      <c r="P18" s="121">
        <v>23900</v>
      </c>
      <c r="Q18" s="121">
        <v>14700</v>
      </c>
      <c r="R18" s="121"/>
      <c r="S18" s="121"/>
      <c r="T18" s="121">
        <v>10100</v>
      </c>
      <c r="U18" s="121"/>
      <c r="V18" s="121">
        <v>10100</v>
      </c>
      <c r="W18" s="121">
        <v>10000</v>
      </c>
      <c r="X18" s="131"/>
      <c r="Y18" s="121">
        <v>10000</v>
      </c>
      <c r="Z18" s="121"/>
      <c r="AA18" s="121"/>
      <c r="AB18" s="121"/>
      <c r="AC18" s="120"/>
      <c r="AD18" s="100"/>
      <c r="AE18" s="100"/>
      <c r="AF18" s="100"/>
      <c r="AG18" s="100"/>
      <c r="AH18" s="100"/>
      <c r="AI18" s="100"/>
      <c r="AJ18" s="100"/>
      <c r="AK18" s="100"/>
      <c r="AL18" s="100"/>
      <c r="AM18" s="100"/>
      <c r="AN18" s="100"/>
      <c r="AO18" s="100"/>
    </row>
    <row r="19" spans="1:41" s="99" customFormat="1" ht="18" customHeight="1">
      <c r="A19" s="119" t="s">
        <v>377</v>
      </c>
      <c r="B19" s="121">
        <v>32000</v>
      </c>
      <c r="C19" s="121"/>
      <c r="D19" s="121">
        <v>36000</v>
      </c>
      <c r="E19" s="121">
        <v>32000</v>
      </c>
      <c r="F19" s="121">
        <v>4000</v>
      </c>
      <c r="G19" s="121">
        <v>36000</v>
      </c>
      <c r="H19" s="120"/>
      <c r="I19" s="120"/>
      <c r="J19" s="120"/>
      <c r="K19" s="121">
        <v>32000</v>
      </c>
      <c r="L19" s="121">
        <v>10642.7</v>
      </c>
      <c r="M19" s="121">
        <v>42642.7</v>
      </c>
      <c r="N19" s="121">
        <v>32000</v>
      </c>
      <c r="O19" s="121">
        <v>12000</v>
      </c>
      <c r="P19" s="121">
        <v>44000</v>
      </c>
      <c r="Q19" s="121">
        <v>6000</v>
      </c>
      <c r="R19" s="121"/>
      <c r="S19" s="121">
        <v>6000</v>
      </c>
      <c r="T19" s="121">
        <v>10000</v>
      </c>
      <c r="U19" s="121"/>
      <c r="V19" s="121">
        <v>10000</v>
      </c>
      <c r="W19" s="121"/>
      <c r="X19" s="132"/>
      <c r="Y19" s="121"/>
      <c r="Z19" s="121"/>
      <c r="AA19" s="121"/>
      <c r="AB19" s="121"/>
      <c r="AC19" s="120"/>
      <c r="AD19" s="100"/>
      <c r="AE19" s="100"/>
      <c r="AF19" s="100"/>
      <c r="AG19" s="100"/>
      <c r="AH19" s="100"/>
      <c r="AI19" s="100"/>
      <c r="AJ19" s="100"/>
      <c r="AK19" s="100"/>
      <c r="AL19" s="100"/>
      <c r="AM19" s="100"/>
      <c r="AN19" s="100"/>
      <c r="AO19" s="100"/>
    </row>
    <row r="20" spans="1:41" s="99" customFormat="1" ht="18" customHeight="1">
      <c r="A20" s="119" t="s">
        <v>378</v>
      </c>
      <c r="B20" s="121">
        <v>27900</v>
      </c>
      <c r="C20" s="121"/>
      <c r="D20" s="121">
        <v>39400</v>
      </c>
      <c r="E20" s="121">
        <v>64500</v>
      </c>
      <c r="F20" s="121">
        <v>25700</v>
      </c>
      <c r="G20" s="121">
        <v>90200</v>
      </c>
      <c r="H20" s="120"/>
      <c r="I20" s="120"/>
      <c r="J20" s="120"/>
      <c r="K20" s="121">
        <v>77700</v>
      </c>
      <c r="L20" s="121">
        <v>25464.68</v>
      </c>
      <c r="M20" s="121">
        <v>103164.68</v>
      </c>
      <c r="N20" s="121">
        <v>48700</v>
      </c>
      <c r="O20" s="121">
        <v>17607.22</v>
      </c>
      <c r="P20" s="121">
        <v>66307.22</v>
      </c>
      <c r="Q20" s="130">
        <v>35800</v>
      </c>
      <c r="R20" s="121"/>
      <c r="S20" s="121">
        <v>27600</v>
      </c>
      <c r="T20" s="121">
        <v>19900</v>
      </c>
      <c r="U20" s="121">
        <v>4480</v>
      </c>
      <c r="V20" s="121">
        <v>24380</v>
      </c>
      <c r="W20" s="121">
        <v>22600</v>
      </c>
      <c r="X20" s="121"/>
      <c r="Y20" s="121">
        <v>27080</v>
      </c>
      <c r="Z20" s="121"/>
      <c r="AA20" s="121"/>
      <c r="AB20" s="121"/>
      <c r="AC20" s="120"/>
      <c r="AD20" s="100"/>
      <c r="AE20" s="100"/>
      <c r="AF20" s="100"/>
      <c r="AG20" s="100"/>
      <c r="AH20" s="100"/>
      <c r="AI20" s="100"/>
      <c r="AJ20" s="100"/>
      <c r="AK20" s="100"/>
      <c r="AL20" s="100"/>
      <c r="AM20" s="100"/>
      <c r="AN20" s="100"/>
      <c r="AO20" s="100"/>
    </row>
    <row r="21" spans="1:41" s="99" customFormat="1" ht="18" customHeight="1">
      <c r="A21" s="119" t="s">
        <v>379</v>
      </c>
      <c r="B21" s="121"/>
      <c r="C21" s="121"/>
      <c r="D21" s="120"/>
      <c r="E21" s="121"/>
      <c r="F21" s="121"/>
      <c r="G21" s="120"/>
      <c r="H21" s="120"/>
      <c r="I21" s="120"/>
      <c r="J21" s="120"/>
      <c r="K21" s="121"/>
      <c r="L21" s="121"/>
      <c r="M21" s="120"/>
      <c r="N21" s="121"/>
      <c r="O21" s="121"/>
      <c r="P21" s="120"/>
      <c r="Q21" s="121">
        <v>191092</v>
      </c>
      <c r="R21" s="121"/>
      <c r="S21" s="121">
        <v>191092</v>
      </c>
      <c r="T21" s="121"/>
      <c r="U21" s="121"/>
      <c r="V21" s="121"/>
      <c r="W21" s="121"/>
      <c r="X21" s="121"/>
      <c r="Y21" s="121"/>
      <c r="Z21" s="121"/>
      <c r="AA21" s="121"/>
      <c r="AB21" s="121"/>
      <c r="AC21" s="120"/>
      <c r="AD21" s="100"/>
      <c r="AE21" s="100"/>
      <c r="AF21" s="100"/>
      <c r="AG21" s="100"/>
      <c r="AH21" s="100"/>
      <c r="AI21" s="100"/>
      <c r="AJ21" s="100"/>
      <c r="AK21" s="100"/>
      <c r="AL21" s="100"/>
      <c r="AM21" s="100"/>
      <c r="AN21" s="100"/>
      <c r="AO21" s="100"/>
    </row>
    <row r="22" spans="1:41" s="99" customFormat="1" ht="18" customHeight="1">
      <c r="A22" s="119" t="s">
        <v>380</v>
      </c>
      <c r="B22" s="121"/>
      <c r="C22" s="121"/>
      <c r="D22" s="121">
        <v>18000</v>
      </c>
      <c r="E22" s="121"/>
      <c r="F22" s="121"/>
      <c r="G22" s="120"/>
      <c r="H22" s="120"/>
      <c r="I22" s="120"/>
      <c r="J22" s="120"/>
      <c r="K22" s="121">
        <v>56500</v>
      </c>
      <c r="L22" s="121"/>
      <c r="M22" s="121">
        <v>56540</v>
      </c>
      <c r="N22" s="121"/>
      <c r="O22" s="121"/>
      <c r="P22" s="120"/>
      <c r="Q22" s="121"/>
      <c r="R22" s="121"/>
      <c r="S22" s="121"/>
      <c r="T22" s="121"/>
      <c r="U22" s="121"/>
      <c r="V22" s="121"/>
      <c r="W22" s="121"/>
      <c r="X22" s="121"/>
      <c r="Y22" s="121"/>
      <c r="Z22" s="121"/>
      <c r="AA22" s="121"/>
      <c r="AB22" s="121"/>
      <c r="AC22" s="120"/>
      <c r="AD22" s="100"/>
      <c r="AE22" s="100"/>
      <c r="AF22" s="100"/>
      <c r="AG22" s="100"/>
      <c r="AH22" s="100"/>
      <c r="AI22" s="100"/>
      <c r="AJ22" s="100"/>
      <c r="AK22" s="100"/>
      <c r="AL22" s="100"/>
      <c r="AM22" s="100"/>
      <c r="AN22" s="100"/>
      <c r="AO22" s="100"/>
    </row>
    <row r="23" spans="1:41" s="99" customFormat="1" ht="18" customHeight="1" hidden="1">
      <c r="A23" s="119" t="s">
        <v>381</v>
      </c>
      <c r="B23" s="121"/>
      <c r="C23" s="121"/>
      <c r="D23" s="120"/>
      <c r="E23" s="121"/>
      <c r="F23" s="121"/>
      <c r="G23" s="120"/>
      <c r="H23" s="120"/>
      <c r="I23" s="120"/>
      <c r="J23" s="120"/>
      <c r="K23" s="121"/>
      <c r="L23" s="121"/>
      <c r="M23" s="120"/>
      <c r="N23" s="121"/>
      <c r="O23" s="121"/>
      <c r="P23" s="120"/>
      <c r="Q23" s="121"/>
      <c r="R23" s="121"/>
      <c r="S23" s="121"/>
      <c r="T23" s="121"/>
      <c r="U23" s="121"/>
      <c r="V23" s="121"/>
      <c r="W23" s="121"/>
      <c r="X23" s="121"/>
      <c r="Y23" s="121"/>
      <c r="Z23" s="121"/>
      <c r="AA23" s="121"/>
      <c r="AB23" s="121"/>
      <c r="AC23" s="120"/>
      <c r="AD23" s="100"/>
      <c r="AE23" s="100"/>
      <c r="AF23" s="100"/>
      <c r="AG23" s="100"/>
      <c r="AH23" s="100"/>
      <c r="AI23" s="100"/>
      <c r="AJ23" s="100"/>
      <c r="AK23" s="100"/>
      <c r="AL23" s="100"/>
      <c r="AM23" s="100"/>
      <c r="AN23" s="100"/>
      <c r="AO23" s="100"/>
    </row>
    <row r="24" spans="1:41" s="99" customFormat="1" ht="18" customHeight="1" hidden="1">
      <c r="A24" s="119" t="s">
        <v>382</v>
      </c>
      <c r="B24" s="121"/>
      <c r="C24" s="121"/>
      <c r="D24" s="120"/>
      <c r="E24" s="121"/>
      <c r="F24" s="121"/>
      <c r="G24" s="120"/>
      <c r="H24" s="120"/>
      <c r="I24" s="120"/>
      <c r="J24" s="120"/>
      <c r="K24" s="121"/>
      <c r="L24" s="121"/>
      <c r="M24" s="120"/>
      <c r="N24" s="121"/>
      <c r="O24" s="121"/>
      <c r="P24" s="120"/>
      <c r="Q24" s="121"/>
      <c r="R24" s="121"/>
      <c r="S24" s="121"/>
      <c r="T24" s="121"/>
      <c r="U24" s="121"/>
      <c r="V24" s="121"/>
      <c r="W24" s="121"/>
      <c r="X24" s="121"/>
      <c r="Y24" s="121"/>
      <c r="Z24" s="121"/>
      <c r="AA24" s="121"/>
      <c r="AB24" s="121"/>
      <c r="AC24" s="120"/>
      <c r="AD24" s="100"/>
      <c r="AE24" s="100"/>
      <c r="AF24" s="100"/>
      <c r="AG24" s="100"/>
      <c r="AH24" s="100"/>
      <c r="AI24" s="100"/>
      <c r="AJ24" s="100"/>
      <c r="AK24" s="100"/>
      <c r="AL24" s="100"/>
      <c r="AM24" s="100"/>
      <c r="AN24" s="100"/>
      <c r="AO24" s="100"/>
    </row>
    <row r="25" spans="1:41" s="99" customFormat="1" ht="18" customHeight="1">
      <c r="A25" s="119" t="s">
        <v>383</v>
      </c>
      <c r="B25" s="121">
        <v>12900</v>
      </c>
      <c r="C25" s="121"/>
      <c r="D25" s="121">
        <v>12900</v>
      </c>
      <c r="E25" s="121">
        <v>44800</v>
      </c>
      <c r="F25" s="121"/>
      <c r="G25" s="121">
        <v>44800</v>
      </c>
      <c r="H25" s="120"/>
      <c r="I25" s="120"/>
      <c r="J25" s="120"/>
      <c r="K25" s="121">
        <v>81698</v>
      </c>
      <c r="L25" s="121"/>
      <c r="M25" s="121">
        <v>81698.9</v>
      </c>
      <c r="N25" s="121">
        <v>46479.01</v>
      </c>
      <c r="O25" s="121"/>
      <c r="P25" s="121">
        <v>46479.01</v>
      </c>
      <c r="Q25" s="121">
        <v>20000</v>
      </c>
      <c r="R25" s="121">
        <v>1544</v>
      </c>
      <c r="S25" s="121">
        <v>21544.9</v>
      </c>
      <c r="T25" s="121">
        <v>8314</v>
      </c>
      <c r="U25" s="121"/>
      <c r="V25" s="121">
        <v>8314.53</v>
      </c>
      <c r="W25" s="121">
        <v>3562</v>
      </c>
      <c r="X25" s="121"/>
      <c r="Y25" s="121">
        <v>3562.87</v>
      </c>
      <c r="Z25" s="121"/>
      <c r="AA25" s="121">
        <v>6000</v>
      </c>
      <c r="AB25" s="121">
        <v>6000</v>
      </c>
      <c r="AC25" s="120"/>
      <c r="AD25" s="100"/>
      <c r="AE25" s="100"/>
      <c r="AF25" s="100"/>
      <c r="AG25" s="100"/>
      <c r="AH25" s="100"/>
      <c r="AI25" s="100"/>
      <c r="AJ25" s="100"/>
      <c r="AK25" s="100"/>
      <c r="AL25" s="100"/>
      <c r="AM25" s="100"/>
      <c r="AN25" s="100"/>
      <c r="AO25" s="100"/>
    </row>
    <row r="26" spans="1:41" s="99" customFormat="1" ht="18" customHeight="1" hidden="1">
      <c r="A26" s="119" t="s">
        <v>384</v>
      </c>
      <c r="B26" s="121"/>
      <c r="C26" s="121"/>
      <c r="D26" s="120"/>
      <c r="E26" s="121"/>
      <c r="F26" s="121"/>
      <c r="G26" s="120"/>
      <c r="H26" s="120"/>
      <c r="I26" s="120"/>
      <c r="J26" s="120"/>
      <c r="K26" s="121"/>
      <c r="L26" s="121"/>
      <c r="M26" s="120"/>
      <c r="N26" s="121"/>
      <c r="O26" s="121"/>
      <c r="P26" s="120"/>
      <c r="Q26" s="121"/>
      <c r="R26" s="121"/>
      <c r="S26" s="121"/>
      <c r="T26" s="121"/>
      <c r="U26" s="121"/>
      <c r="V26" s="121"/>
      <c r="W26" s="121"/>
      <c r="X26" s="121"/>
      <c r="Y26" s="121"/>
      <c r="Z26" s="121"/>
      <c r="AA26" s="121"/>
      <c r="AB26" s="121"/>
      <c r="AC26" s="120"/>
      <c r="AD26" s="100"/>
      <c r="AE26" s="100"/>
      <c r="AF26" s="100"/>
      <c r="AG26" s="100"/>
      <c r="AH26" s="100"/>
      <c r="AI26" s="100"/>
      <c r="AJ26" s="100"/>
      <c r="AK26" s="100"/>
      <c r="AL26" s="100"/>
      <c r="AM26" s="100"/>
      <c r="AN26" s="100"/>
      <c r="AO26" s="100"/>
    </row>
    <row r="27" spans="1:41" s="99" customFormat="1" ht="18" customHeight="1">
      <c r="A27" s="119" t="s">
        <v>385</v>
      </c>
      <c r="B27" s="121"/>
      <c r="C27" s="121"/>
      <c r="D27" s="120"/>
      <c r="E27" s="121"/>
      <c r="F27" s="121"/>
      <c r="G27" s="120"/>
      <c r="H27" s="120"/>
      <c r="I27" s="120"/>
      <c r="J27" s="120"/>
      <c r="K27" s="121"/>
      <c r="L27" s="121"/>
      <c r="M27" s="120"/>
      <c r="N27" s="121"/>
      <c r="O27" s="121"/>
      <c r="P27" s="120"/>
      <c r="Q27" s="130">
        <v>30000</v>
      </c>
      <c r="R27" s="121"/>
      <c r="S27" s="121"/>
      <c r="T27" s="121"/>
      <c r="U27" s="121"/>
      <c r="V27" s="121"/>
      <c r="W27" s="121"/>
      <c r="X27" s="121"/>
      <c r="Y27" s="121"/>
      <c r="Z27" s="121"/>
      <c r="AA27" s="121"/>
      <c r="AB27" s="121"/>
      <c r="AC27" s="120"/>
      <c r="AD27" s="100"/>
      <c r="AE27" s="100"/>
      <c r="AF27" s="100"/>
      <c r="AG27" s="100"/>
      <c r="AH27" s="100"/>
      <c r="AI27" s="100"/>
      <c r="AJ27" s="100"/>
      <c r="AK27" s="100"/>
      <c r="AL27" s="100"/>
      <c r="AM27" s="100"/>
      <c r="AN27" s="100"/>
      <c r="AO27" s="100"/>
    </row>
    <row r="28" spans="1:41" s="99" customFormat="1" ht="18" customHeight="1" hidden="1">
      <c r="A28" s="119" t="s">
        <v>386</v>
      </c>
      <c r="B28" s="121"/>
      <c r="C28" s="121"/>
      <c r="D28" s="120"/>
      <c r="E28" s="121"/>
      <c r="F28" s="121"/>
      <c r="G28" s="120"/>
      <c r="H28" s="120"/>
      <c r="I28" s="120"/>
      <c r="J28" s="120"/>
      <c r="K28" s="121"/>
      <c r="L28" s="121"/>
      <c r="M28" s="120"/>
      <c r="N28" s="121"/>
      <c r="O28" s="121"/>
      <c r="P28" s="120"/>
      <c r="Q28" s="121"/>
      <c r="R28" s="121"/>
      <c r="S28" s="121"/>
      <c r="T28" s="121"/>
      <c r="U28" s="121"/>
      <c r="V28" s="121"/>
      <c r="W28" s="121"/>
      <c r="X28" s="121"/>
      <c r="Y28" s="121"/>
      <c r="Z28" s="121"/>
      <c r="AA28" s="121"/>
      <c r="AB28" s="121"/>
      <c r="AC28" s="120"/>
      <c r="AD28" s="100"/>
      <c r="AE28" s="100"/>
      <c r="AF28" s="100"/>
      <c r="AG28" s="100"/>
      <c r="AH28" s="100"/>
      <c r="AI28" s="100"/>
      <c r="AJ28" s="100"/>
      <c r="AK28" s="100"/>
      <c r="AL28" s="100"/>
      <c r="AM28" s="100"/>
      <c r="AN28" s="100"/>
      <c r="AO28" s="100"/>
    </row>
    <row r="29" spans="1:41" s="99" customFormat="1" ht="18" customHeight="1" hidden="1">
      <c r="A29" s="119" t="s">
        <v>387</v>
      </c>
      <c r="B29" s="121"/>
      <c r="C29" s="121"/>
      <c r="D29" s="120"/>
      <c r="E29" s="121"/>
      <c r="F29" s="121"/>
      <c r="G29" s="120"/>
      <c r="H29" s="120"/>
      <c r="I29" s="120"/>
      <c r="J29" s="120"/>
      <c r="K29" s="121"/>
      <c r="L29" s="121"/>
      <c r="M29" s="120"/>
      <c r="N29" s="121"/>
      <c r="O29" s="121"/>
      <c r="P29" s="120"/>
      <c r="Q29" s="121"/>
      <c r="R29" s="121"/>
      <c r="S29" s="121"/>
      <c r="T29" s="121"/>
      <c r="U29" s="121"/>
      <c r="V29" s="121"/>
      <c r="W29" s="121"/>
      <c r="X29" s="121"/>
      <c r="Y29" s="121"/>
      <c r="Z29" s="121"/>
      <c r="AA29" s="121"/>
      <c r="AB29" s="121"/>
      <c r="AC29" s="120"/>
      <c r="AD29" s="100"/>
      <c r="AE29" s="100"/>
      <c r="AF29" s="100"/>
      <c r="AG29" s="100"/>
      <c r="AH29" s="100"/>
      <c r="AI29" s="100"/>
      <c r="AJ29" s="100"/>
      <c r="AK29" s="100"/>
      <c r="AL29" s="100"/>
      <c r="AM29" s="100"/>
      <c r="AN29" s="100"/>
      <c r="AO29" s="100"/>
    </row>
    <row r="30" spans="1:41" s="99" customFormat="1" ht="18" customHeight="1">
      <c r="A30" s="119" t="s">
        <v>388</v>
      </c>
      <c r="B30" s="121"/>
      <c r="C30" s="121"/>
      <c r="D30" s="120"/>
      <c r="E30" s="121"/>
      <c r="F30" s="121"/>
      <c r="G30" s="120"/>
      <c r="H30" s="120"/>
      <c r="I30" s="120"/>
      <c r="J30" s="120"/>
      <c r="K30" s="121"/>
      <c r="L30" s="121"/>
      <c r="M30" s="120"/>
      <c r="N30" s="121"/>
      <c r="O30" s="121"/>
      <c r="P30" s="120"/>
      <c r="Q30" s="121"/>
      <c r="R30" s="121"/>
      <c r="S30" s="121"/>
      <c r="T30" s="121">
        <v>27000</v>
      </c>
      <c r="U30" s="121"/>
      <c r="V30" s="121"/>
      <c r="W30" s="121">
        <v>14000</v>
      </c>
      <c r="X30" s="121"/>
      <c r="Y30" s="121">
        <v>14000</v>
      </c>
      <c r="Z30" s="121"/>
      <c r="AA30" s="121"/>
      <c r="AB30" s="121"/>
      <c r="AC30" s="120"/>
      <c r="AD30" s="100"/>
      <c r="AE30" s="100"/>
      <c r="AF30" s="100"/>
      <c r="AG30" s="100"/>
      <c r="AH30" s="100"/>
      <c r="AI30" s="100"/>
      <c r="AJ30" s="100"/>
      <c r="AK30" s="100"/>
      <c r="AL30" s="100"/>
      <c r="AM30" s="100"/>
      <c r="AN30" s="100"/>
      <c r="AO30" s="100"/>
    </row>
    <row r="31" spans="1:41" s="99" customFormat="1" ht="18" customHeight="1" hidden="1">
      <c r="A31" s="119" t="s">
        <v>389</v>
      </c>
      <c r="B31" s="121"/>
      <c r="C31" s="121"/>
      <c r="D31" s="120"/>
      <c r="E31" s="121"/>
      <c r="F31" s="121"/>
      <c r="G31" s="120"/>
      <c r="H31" s="120"/>
      <c r="I31" s="120"/>
      <c r="J31" s="120"/>
      <c r="K31" s="121"/>
      <c r="L31" s="121"/>
      <c r="M31" s="120"/>
      <c r="N31" s="121"/>
      <c r="O31" s="121"/>
      <c r="P31" s="120"/>
      <c r="Q31" s="121"/>
      <c r="R31" s="121"/>
      <c r="S31" s="121"/>
      <c r="T31" s="121"/>
      <c r="U31" s="121"/>
      <c r="V31" s="121"/>
      <c r="W31" s="121"/>
      <c r="X31" s="121"/>
      <c r="Y31" s="121"/>
      <c r="Z31" s="121"/>
      <c r="AA31" s="121"/>
      <c r="AB31" s="121"/>
      <c r="AC31" s="120"/>
      <c r="AD31" s="100"/>
      <c r="AE31" s="100"/>
      <c r="AF31" s="100"/>
      <c r="AG31" s="100"/>
      <c r="AH31" s="100"/>
      <c r="AI31" s="100"/>
      <c r="AJ31" s="100"/>
      <c r="AK31" s="100"/>
      <c r="AL31" s="100"/>
      <c r="AM31" s="100"/>
      <c r="AN31" s="100"/>
      <c r="AO31" s="100"/>
    </row>
    <row r="32" spans="1:41" s="99" customFormat="1" ht="18" customHeight="1" hidden="1">
      <c r="A32" s="119" t="s">
        <v>390</v>
      </c>
      <c r="B32" s="121"/>
      <c r="C32" s="121"/>
      <c r="D32" s="120"/>
      <c r="E32" s="121"/>
      <c r="F32" s="121"/>
      <c r="G32" s="120"/>
      <c r="H32" s="120"/>
      <c r="I32" s="120"/>
      <c r="J32" s="120"/>
      <c r="K32" s="121"/>
      <c r="L32" s="121"/>
      <c r="M32" s="120"/>
      <c r="N32" s="121"/>
      <c r="O32" s="121"/>
      <c r="P32" s="120"/>
      <c r="Q32" s="121"/>
      <c r="R32" s="121"/>
      <c r="S32" s="121"/>
      <c r="T32" s="121"/>
      <c r="U32" s="121"/>
      <c r="V32" s="121"/>
      <c r="W32" s="121"/>
      <c r="X32" s="121"/>
      <c r="Y32" s="121"/>
      <c r="Z32" s="121"/>
      <c r="AA32" s="121"/>
      <c r="AB32" s="121"/>
      <c r="AC32" s="120"/>
      <c r="AD32" s="100"/>
      <c r="AE32" s="100"/>
      <c r="AF32" s="100"/>
      <c r="AG32" s="100"/>
      <c r="AH32" s="100"/>
      <c r="AI32" s="100"/>
      <c r="AJ32" s="100"/>
      <c r="AK32" s="100"/>
      <c r="AL32" s="100"/>
      <c r="AM32" s="100"/>
      <c r="AN32" s="100"/>
      <c r="AO32" s="100"/>
    </row>
    <row r="33" spans="1:41" s="99" customFormat="1" ht="18" customHeight="1" hidden="1">
      <c r="A33" s="119" t="s">
        <v>391</v>
      </c>
      <c r="B33" s="121"/>
      <c r="C33" s="121"/>
      <c r="D33" s="120"/>
      <c r="E33" s="121"/>
      <c r="F33" s="121"/>
      <c r="G33" s="120"/>
      <c r="H33" s="120"/>
      <c r="I33" s="120"/>
      <c r="J33" s="120"/>
      <c r="K33" s="121"/>
      <c r="L33" s="121"/>
      <c r="M33" s="120"/>
      <c r="N33" s="121"/>
      <c r="O33" s="121"/>
      <c r="P33" s="120"/>
      <c r="Q33" s="121"/>
      <c r="R33" s="121"/>
      <c r="S33" s="121"/>
      <c r="T33" s="121"/>
      <c r="U33" s="121"/>
      <c r="V33" s="121"/>
      <c r="W33" s="121"/>
      <c r="X33" s="121"/>
      <c r="Y33" s="121"/>
      <c r="Z33" s="121"/>
      <c r="AA33" s="121"/>
      <c r="AB33" s="121"/>
      <c r="AC33" s="120"/>
      <c r="AD33" s="100"/>
      <c r="AE33" s="100"/>
      <c r="AF33" s="100"/>
      <c r="AG33" s="100"/>
      <c r="AH33" s="100"/>
      <c r="AI33" s="100"/>
      <c r="AJ33" s="100"/>
      <c r="AK33" s="100"/>
      <c r="AL33" s="100"/>
      <c r="AM33" s="100"/>
      <c r="AN33" s="100"/>
      <c r="AO33" s="100"/>
    </row>
    <row r="34" spans="1:41" s="99" customFormat="1" ht="18" customHeight="1" hidden="1">
      <c r="A34" s="119" t="s">
        <v>392</v>
      </c>
      <c r="B34" s="121"/>
      <c r="C34" s="121"/>
      <c r="D34" s="120"/>
      <c r="E34" s="121"/>
      <c r="F34" s="121"/>
      <c r="G34" s="120"/>
      <c r="H34" s="120"/>
      <c r="I34" s="120"/>
      <c r="J34" s="120"/>
      <c r="K34" s="121"/>
      <c r="L34" s="121"/>
      <c r="M34" s="120"/>
      <c r="N34" s="121"/>
      <c r="O34" s="121"/>
      <c r="P34" s="120"/>
      <c r="Q34" s="121"/>
      <c r="R34" s="121"/>
      <c r="S34" s="121"/>
      <c r="T34" s="121"/>
      <c r="U34" s="121"/>
      <c r="V34" s="121"/>
      <c r="W34" s="121"/>
      <c r="X34" s="121"/>
      <c r="Y34" s="121"/>
      <c r="Z34" s="121"/>
      <c r="AA34" s="121"/>
      <c r="AB34" s="121"/>
      <c r="AC34" s="120"/>
      <c r="AD34" s="100"/>
      <c r="AE34" s="100"/>
      <c r="AF34" s="100"/>
      <c r="AG34" s="100"/>
      <c r="AH34" s="100"/>
      <c r="AI34" s="100"/>
      <c r="AJ34" s="100"/>
      <c r="AK34" s="100"/>
      <c r="AL34" s="100"/>
      <c r="AM34" s="100"/>
      <c r="AN34" s="100"/>
      <c r="AO34" s="100"/>
    </row>
    <row r="35" spans="1:41" s="99" customFormat="1" ht="18" customHeight="1" hidden="1">
      <c r="A35" s="119" t="s">
        <v>393</v>
      </c>
      <c r="B35" s="121"/>
      <c r="C35" s="121"/>
      <c r="D35" s="120"/>
      <c r="E35" s="121"/>
      <c r="F35" s="121"/>
      <c r="G35" s="120"/>
      <c r="H35" s="120"/>
      <c r="I35" s="120"/>
      <c r="J35" s="120"/>
      <c r="K35" s="121"/>
      <c r="L35" s="121"/>
      <c r="M35" s="120"/>
      <c r="N35" s="121"/>
      <c r="O35" s="121"/>
      <c r="P35" s="120"/>
      <c r="Q35" s="121"/>
      <c r="R35" s="121"/>
      <c r="S35" s="121"/>
      <c r="T35" s="121"/>
      <c r="U35" s="121"/>
      <c r="V35" s="121"/>
      <c r="W35" s="121"/>
      <c r="X35" s="121"/>
      <c r="Y35" s="121"/>
      <c r="Z35" s="121"/>
      <c r="AA35" s="121"/>
      <c r="AB35" s="121"/>
      <c r="AC35" s="120"/>
      <c r="AD35" s="100"/>
      <c r="AE35" s="100"/>
      <c r="AF35" s="100"/>
      <c r="AG35" s="100"/>
      <c r="AH35" s="100"/>
      <c r="AI35" s="100"/>
      <c r="AJ35" s="100"/>
      <c r="AK35" s="100"/>
      <c r="AL35" s="100"/>
      <c r="AM35" s="100"/>
      <c r="AN35" s="100"/>
      <c r="AO35" s="100"/>
    </row>
    <row r="36" spans="1:41" s="99" customFormat="1" ht="18" customHeight="1" hidden="1">
      <c r="A36" s="119" t="s">
        <v>394</v>
      </c>
      <c r="B36" s="121"/>
      <c r="C36" s="121"/>
      <c r="D36" s="120"/>
      <c r="E36" s="121"/>
      <c r="F36" s="121"/>
      <c r="G36" s="120"/>
      <c r="H36" s="120"/>
      <c r="I36" s="120"/>
      <c r="J36" s="120"/>
      <c r="K36" s="121"/>
      <c r="L36" s="121"/>
      <c r="M36" s="120"/>
      <c r="N36" s="121"/>
      <c r="O36" s="121"/>
      <c r="P36" s="120"/>
      <c r="Q36" s="121"/>
      <c r="R36" s="121"/>
      <c r="S36" s="121"/>
      <c r="T36" s="121"/>
      <c r="U36" s="121"/>
      <c r="V36" s="121"/>
      <c r="W36" s="121"/>
      <c r="X36" s="121"/>
      <c r="Y36" s="121"/>
      <c r="Z36" s="121"/>
      <c r="AA36" s="121"/>
      <c r="AB36" s="121"/>
      <c r="AC36" s="120"/>
      <c r="AD36" s="100"/>
      <c r="AE36" s="100"/>
      <c r="AF36" s="100"/>
      <c r="AG36" s="100"/>
      <c r="AH36" s="100"/>
      <c r="AI36" s="100"/>
      <c r="AJ36" s="100"/>
      <c r="AK36" s="100"/>
      <c r="AL36" s="100"/>
      <c r="AM36" s="100"/>
      <c r="AN36" s="100"/>
      <c r="AO36" s="100"/>
    </row>
    <row r="37" spans="1:41" s="99" customFormat="1" ht="18" customHeight="1">
      <c r="A37" s="119" t="s">
        <v>395</v>
      </c>
      <c r="B37" s="121"/>
      <c r="C37" s="121">
        <v>192900</v>
      </c>
      <c r="D37" s="121">
        <v>192900</v>
      </c>
      <c r="E37" s="121"/>
      <c r="F37" s="121">
        <v>659800</v>
      </c>
      <c r="G37" s="121">
        <v>659800</v>
      </c>
      <c r="H37" s="120"/>
      <c r="I37" s="120"/>
      <c r="J37" s="120"/>
      <c r="K37" s="121"/>
      <c r="L37" s="121">
        <v>1477208.54</v>
      </c>
      <c r="M37" s="121">
        <v>1477208.54</v>
      </c>
      <c r="N37" s="121"/>
      <c r="O37" s="121">
        <v>751499.96</v>
      </c>
      <c r="P37" s="121">
        <v>751499.96</v>
      </c>
      <c r="Q37" s="121">
        <v>2280</v>
      </c>
      <c r="R37" s="121">
        <v>267486.98</v>
      </c>
      <c r="S37" s="121">
        <v>269766.98</v>
      </c>
      <c r="T37" s="121"/>
      <c r="U37" s="121">
        <v>74334.99</v>
      </c>
      <c r="V37" s="121">
        <v>74334.99</v>
      </c>
      <c r="W37" s="121"/>
      <c r="X37" s="121">
        <v>33096.94</v>
      </c>
      <c r="Y37" s="121">
        <v>33096.94</v>
      </c>
      <c r="Z37" s="121"/>
      <c r="AA37" s="121"/>
      <c r="AB37" s="121"/>
      <c r="AC37" s="120"/>
      <c r="AD37" s="100"/>
      <c r="AE37" s="100"/>
      <c r="AF37" s="100"/>
      <c r="AG37" s="100"/>
      <c r="AH37" s="100"/>
      <c r="AI37" s="100"/>
      <c r="AJ37" s="100"/>
      <c r="AK37" s="100"/>
      <c r="AL37" s="100"/>
      <c r="AM37" s="100"/>
      <c r="AN37" s="100"/>
      <c r="AO37" s="100"/>
    </row>
    <row r="38" spans="1:41" s="99" customFormat="1" ht="18" customHeight="1">
      <c r="A38" s="119" t="s">
        <v>396</v>
      </c>
      <c r="B38" s="121"/>
      <c r="C38" s="121">
        <v>41100</v>
      </c>
      <c r="D38" s="120"/>
      <c r="E38" s="121"/>
      <c r="F38" s="121">
        <v>142800</v>
      </c>
      <c r="G38" s="121">
        <v>142800</v>
      </c>
      <c r="H38" s="120"/>
      <c r="I38" s="120"/>
      <c r="J38" s="120"/>
      <c r="K38" s="121"/>
      <c r="L38" s="121">
        <v>170346.48</v>
      </c>
      <c r="M38" s="121">
        <v>170346.48</v>
      </c>
      <c r="N38" s="121"/>
      <c r="O38" s="121">
        <v>115234.3</v>
      </c>
      <c r="P38" s="121">
        <v>115234.3</v>
      </c>
      <c r="Q38" s="130">
        <v>15000</v>
      </c>
      <c r="R38" s="121"/>
      <c r="S38" s="121"/>
      <c r="T38" s="121"/>
      <c r="U38" s="121">
        <v>29852.7</v>
      </c>
      <c r="V38" s="121">
        <v>29852.7</v>
      </c>
      <c r="W38" s="121"/>
      <c r="X38" s="121">
        <v>12792.21</v>
      </c>
      <c r="Y38" s="121">
        <v>12792.21</v>
      </c>
      <c r="Z38" s="121"/>
      <c r="AA38" s="121"/>
      <c r="AB38" s="121"/>
      <c r="AC38" s="120"/>
      <c r="AD38" s="100"/>
      <c r="AE38" s="100"/>
      <c r="AF38" s="100"/>
      <c r="AG38" s="100"/>
      <c r="AH38" s="100"/>
      <c r="AI38" s="100"/>
      <c r="AJ38" s="100"/>
      <c r="AK38" s="100"/>
      <c r="AL38" s="100"/>
      <c r="AM38" s="100"/>
      <c r="AN38" s="100"/>
      <c r="AO38" s="100"/>
    </row>
    <row r="39" spans="1:41" s="99" customFormat="1" ht="18" customHeight="1">
      <c r="A39" s="119" t="s">
        <v>397</v>
      </c>
      <c r="B39" s="121">
        <v>24357.5</v>
      </c>
      <c r="C39" s="121"/>
      <c r="D39" s="121">
        <v>23500</v>
      </c>
      <c r="E39" s="121">
        <v>59757.5</v>
      </c>
      <c r="F39" s="121"/>
      <c r="G39" s="121">
        <v>59800</v>
      </c>
      <c r="H39" s="120"/>
      <c r="I39" s="120"/>
      <c r="J39" s="120"/>
      <c r="K39" s="121">
        <v>127082</v>
      </c>
      <c r="L39" s="121">
        <v>10505</v>
      </c>
      <c r="M39" s="121">
        <v>137587</v>
      </c>
      <c r="N39" s="121">
        <v>89333.33</v>
      </c>
      <c r="O39" s="121">
        <v>1904.48</v>
      </c>
      <c r="P39" s="121">
        <v>91237.81</v>
      </c>
      <c r="Q39" s="130">
        <v>43000</v>
      </c>
      <c r="R39" s="121"/>
      <c r="S39" s="121">
        <v>35088.15</v>
      </c>
      <c r="T39" s="121">
        <v>20033.33</v>
      </c>
      <c r="U39" s="121"/>
      <c r="V39" s="121">
        <v>18315.29</v>
      </c>
      <c r="W39" s="121">
        <v>12733.34</v>
      </c>
      <c r="X39" s="121"/>
      <c r="Y39" s="121"/>
      <c r="Z39" s="121"/>
      <c r="AA39" s="121"/>
      <c r="AB39" s="121"/>
      <c r="AC39" s="120"/>
      <c r="AD39" s="100"/>
      <c r="AE39" s="100"/>
      <c r="AF39" s="100"/>
      <c r="AG39" s="100"/>
      <c r="AH39" s="100"/>
      <c r="AI39" s="100"/>
      <c r="AJ39" s="100"/>
      <c r="AK39" s="100"/>
      <c r="AL39" s="100"/>
      <c r="AM39" s="100"/>
      <c r="AN39" s="100"/>
      <c r="AO39" s="100"/>
    </row>
    <row r="40" spans="1:41" s="99" customFormat="1" ht="18" customHeight="1">
      <c r="A40" s="119" t="s">
        <v>398</v>
      </c>
      <c r="B40" s="120"/>
      <c r="C40" s="121"/>
      <c r="D40" s="120"/>
      <c r="E40" s="120"/>
      <c r="F40" s="121"/>
      <c r="G40" s="120"/>
      <c r="H40" s="120"/>
      <c r="I40" s="120"/>
      <c r="J40" s="120"/>
      <c r="K40" s="120"/>
      <c r="L40" s="120"/>
      <c r="M40" s="120"/>
      <c r="N40" s="121"/>
      <c r="O40" s="121"/>
      <c r="P40" s="120"/>
      <c r="Q40" s="120"/>
      <c r="R40" s="121"/>
      <c r="S40" s="121"/>
      <c r="T40" s="120"/>
      <c r="U40" s="121"/>
      <c r="V40" s="121"/>
      <c r="W40" s="121"/>
      <c r="X40" s="121"/>
      <c r="Y40" s="121"/>
      <c r="Z40" s="121"/>
      <c r="AA40" s="121">
        <v>22000</v>
      </c>
      <c r="AB40" s="121">
        <v>22000</v>
      </c>
      <c r="AC40" s="120"/>
      <c r="AD40" s="100"/>
      <c r="AE40" s="100"/>
      <c r="AF40" s="100"/>
      <c r="AG40" s="100"/>
      <c r="AH40" s="100"/>
      <c r="AI40" s="100"/>
      <c r="AJ40" s="100"/>
      <c r="AK40" s="100"/>
      <c r="AL40" s="100"/>
      <c r="AM40" s="100"/>
      <c r="AN40" s="100"/>
      <c r="AO40" s="100"/>
    </row>
    <row r="41" spans="1:41" s="99" customFormat="1" ht="18" customHeight="1">
      <c r="A41" s="119" t="s">
        <v>399</v>
      </c>
      <c r="B41" s="122">
        <f aca="true" t="shared" si="3" ref="B41:U41">SUM(B42:B48)</f>
        <v>0</v>
      </c>
      <c r="C41" s="122">
        <f t="shared" si="3"/>
        <v>0</v>
      </c>
      <c r="D41" s="122">
        <f t="shared" si="3"/>
        <v>0</v>
      </c>
      <c r="E41" s="122">
        <f t="shared" si="3"/>
        <v>0</v>
      </c>
      <c r="F41" s="122">
        <f t="shared" si="3"/>
        <v>0</v>
      </c>
      <c r="G41" s="122">
        <f t="shared" si="3"/>
        <v>0</v>
      </c>
      <c r="H41" s="122">
        <f t="shared" si="3"/>
        <v>0</v>
      </c>
      <c r="I41" s="122">
        <f t="shared" si="3"/>
        <v>0</v>
      </c>
      <c r="J41" s="122">
        <f t="shared" si="3"/>
        <v>0</v>
      </c>
      <c r="K41" s="122">
        <f t="shared" si="3"/>
        <v>0</v>
      </c>
      <c r="L41" s="122">
        <f t="shared" si="3"/>
        <v>0</v>
      </c>
      <c r="M41" s="122">
        <f t="shared" si="3"/>
        <v>0</v>
      </c>
      <c r="N41" s="122">
        <f t="shared" si="3"/>
        <v>0</v>
      </c>
      <c r="O41" s="122">
        <f t="shared" si="3"/>
        <v>0</v>
      </c>
      <c r="P41" s="122">
        <f t="shared" si="3"/>
        <v>0</v>
      </c>
      <c r="Q41" s="122">
        <f t="shared" si="3"/>
        <v>0</v>
      </c>
      <c r="R41" s="133">
        <f t="shared" si="3"/>
        <v>0</v>
      </c>
      <c r="S41" s="133">
        <f t="shared" si="3"/>
        <v>0</v>
      </c>
      <c r="T41" s="122">
        <f t="shared" si="3"/>
        <v>0</v>
      </c>
      <c r="U41" s="122">
        <f t="shared" si="3"/>
        <v>0</v>
      </c>
      <c r="V41" s="133"/>
      <c r="W41" s="133">
        <v>0</v>
      </c>
      <c r="X41" s="133">
        <v>0</v>
      </c>
      <c r="Y41" s="133"/>
      <c r="Z41" s="133"/>
      <c r="AA41" s="133">
        <f>SUM(AA42:AA48)</f>
        <v>50000</v>
      </c>
      <c r="AB41" s="133">
        <f>SUM(AB42:AB48)</f>
        <v>50000</v>
      </c>
      <c r="AC41" s="121"/>
      <c r="AD41" s="100"/>
      <c r="AE41" s="100"/>
      <c r="AF41" s="100"/>
      <c r="AG41" s="100"/>
      <c r="AH41" s="100"/>
      <c r="AI41" s="100"/>
      <c r="AJ41" s="100"/>
      <c r="AK41" s="100"/>
      <c r="AL41" s="100"/>
      <c r="AM41" s="100"/>
      <c r="AN41" s="100"/>
      <c r="AO41" s="100"/>
    </row>
    <row r="42" spans="1:41" s="99" customFormat="1" ht="18" customHeight="1">
      <c r="A42" s="119" t="s">
        <v>400</v>
      </c>
      <c r="B42" s="123"/>
      <c r="C42" s="123"/>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00"/>
      <c r="AE42" s="100"/>
      <c r="AF42" s="100"/>
      <c r="AG42" s="100"/>
      <c r="AH42" s="100"/>
      <c r="AI42" s="100"/>
      <c r="AJ42" s="100"/>
      <c r="AK42" s="100"/>
      <c r="AL42" s="100"/>
      <c r="AM42" s="100"/>
      <c r="AN42" s="100"/>
      <c r="AO42" s="100"/>
    </row>
    <row r="43" spans="1:41" s="99" customFormat="1" ht="18" customHeight="1">
      <c r="A43" s="119" t="s">
        <v>401</v>
      </c>
      <c r="B43" s="123"/>
      <c r="C43" s="123"/>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00"/>
      <c r="AE43" s="100"/>
      <c r="AF43" s="100"/>
      <c r="AG43" s="100"/>
      <c r="AH43" s="100"/>
      <c r="AI43" s="100"/>
      <c r="AJ43" s="100"/>
      <c r="AK43" s="100"/>
      <c r="AL43" s="100"/>
      <c r="AM43" s="100"/>
      <c r="AN43" s="100"/>
      <c r="AO43" s="100"/>
    </row>
    <row r="44" spans="1:41" s="99" customFormat="1" ht="18" customHeight="1">
      <c r="A44" s="119" t="s">
        <v>402</v>
      </c>
      <c r="B44" s="123"/>
      <c r="C44" s="123"/>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00"/>
      <c r="AE44" s="100"/>
      <c r="AF44" s="100"/>
      <c r="AG44" s="100"/>
      <c r="AH44" s="100"/>
      <c r="AI44" s="100"/>
      <c r="AJ44" s="100"/>
      <c r="AK44" s="100"/>
      <c r="AL44" s="100"/>
      <c r="AM44" s="100"/>
      <c r="AN44" s="100"/>
      <c r="AO44" s="100"/>
    </row>
    <row r="45" spans="1:41" s="99" customFormat="1" ht="18" customHeight="1">
      <c r="A45" s="119" t="s">
        <v>403</v>
      </c>
      <c r="B45" s="123"/>
      <c r="C45" s="123"/>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00"/>
      <c r="AE45" s="100"/>
      <c r="AF45" s="100"/>
      <c r="AG45" s="100"/>
      <c r="AH45" s="100"/>
      <c r="AI45" s="100"/>
      <c r="AJ45" s="100"/>
      <c r="AK45" s="100"/>
      <c r="AL45" s="100"/>
      <c r="AM45" s="100"/>
      <c r="AN45" s="100"/>
      <c r="AO45" s="100"/>
    </row>
    <row r="46" spans="1:41" s="99" customFormat="1" ht="18" customHeight="1">
      <c r="A46" s="119" t="s">
        <v>404</v>
      </c>
      <c r="B46" s="123"/>
      <c r="C46" s="123"/>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00"/>
      <c r="AE46" s="100"/>
      <c r="AF46" s="100"/>
      <c r="AG46" s="100"/>
      <c r="AH46" s="100"/>
      <c r="AI46" s="100"/>
      <c r="AJ46" s="100"/>
      <c r="AK46" s="100"/>
      <c r="AL46" s="100"/>
      <c r="AM46" s="100"/>
      <c r="AN46" s="100"/>
      <c r="AO46" s="100"/>
    </row>
    <row r="47" spans="1:41" s="99" customFormat="1" ht="18" customHeight="1">
      <c r="A47" s="119" t="s">
        <v>405</v>
      </c>
      <c r="B47" s="123"/>
      <c r="C47" s="123"/>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v>50000</v>
      </c>
      <c r="AB47" s="121">
        <v>50000</v>
      </c>
      <c r="AC47" s="121"/>
      <c r="AD47" s="100"/>
      <c r="AE47" s="100"/>
      <c r="AF47" s="100"/>
      <c r="AG47" s="100"/>
      <c r="AH47" s="100"/>
      <c r="AI47" s="100"/>
      <c r="AJ47" s="100"/>
      <c r="AK47" s="100"/>
      <c r="AL47" s="100"/>
      <c r="AM47" s="100"/>
      <c r="AN47" s="100"/>
      <c r="AO47" s="100"/>
    </row>
    <row r="48" spans="1:41" s="99" customFormat="1" ht="18" customHeight="1">
      <c r="A48" s="119" t="s">
        <v>406</v>
      </c>
      <c r="B48" s="123"/>
      <c r="C48" s="123"/>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00"/>
      <c r="AE48" s="100"/>
      <c r="AF48" s="100"/>
      <c r="AG48" s="100"/>
      <c r="AH48" s="100"/>
      <c r="AI48" s="100"/>
      <c r="AJ48" s="100"/>
      <c r="AK48" s="100"/>
      <c r="AL48" s="100"/>
      <c r="AM48" s="100"/>
      <c r="AN48" s="100"/>
      <c r="AO48" s="100"/>
    </row>
    <row r="49" spans="1:41" s="99" customFormat="1" ht="18" customHeight="1">
      <c r="A49" s="119" t="s">
        <v>407</v>
      </c>
      <c r="B49" s="117">
        <f aca="true" t="shared" si="4" ref="B49:U49">SUM(B50:B57)</f>
        <v>2000000</v>
      </c>
      <c r="C49" s="117">
        <f t="shared" si="4"/>
        <v>1548500</v>
      </c>
      <c r="D49" s="118">
        <f t="shared" si="4"/>
        <v>3589600</v>
      </c>
      <c r="E49" s="117">
        <f t="shared" si="4"/>
        <v>7200000</v>
      </c>
      <c r="F49" s="117">
        <f t="shared" si="4"/>
        <v>5093000</v>
      </c>
      <c r="G49" s="117">
        <f t="shared" si="4"/>
        <v>12293000</v>
      </c>
      <c r="H49" s="117">
        <f t="shared" si="4"/>
        <v>0</v>
      </c>
      <c r="I49" s="117">
        <f t="shared" si="4"/>
        <v>0</v>
      </c>
      <c r="J49" s="117">
        <f t="shared" si="4"/>
        <v>0</v>
      </c>
      <c r="K49" s="117">
        <f t="shared" si="4"/>
        <v>19587744</v>
      </c>
      <c r="L49" s="117">
        <f t="shared" si="4"/>
        <v>8065329.47</v>
      </c>
      <c r="M49" s="117">
        <f t="shared" si="4"/>
        <v>27653073.470000003</v>
      </c>
      <c r="N49" s="117">
        <f t="shared" si="4"/>
        <v>7656100.5600000005</v>
      </c>
      <c r="O49" s="117">
        <f t="shared" si="4"/>
        <v>6315566.770000001</v>
      </c>
      <c r="P49" s="117">
        <f t="shared" si="4"/>
        <v>13971667.329999998</v>
      </c>
      <c r="Q49" s="117">
        <f t="shared" si="4"/>
        <v>4388355.5</v>
      </c>
      <c r="R49" s="118">
        <f t="shared" si="4"/>
        <v>1583029.68</v>
      </c>
      <c r="S49" s="118">
        <f t="shared" si="4"/>
        <v>5971385.180000001</v>
      </c>
      <c r="T49" s="117">
        <f t="shared" si="4"/>
        <v>2150973.65</v>
      </c>
      <c r="U49" s="117">
        <f t="shared" si="4"/>
        <v>140855.34</v>
      </c>
      <c r="V49" s="118">
        <v>2299653.19</v>
      </c>
      <c r="W49" s="118">
        <v>963746.85</v>
      </c>
      <c r="X49" s="118">
        <v>36204.58</v>
      </c>
      <c r="Y49" s="118">
        <v>981162.43</v>
      </c>
      <c r="Z49" s="118"/>
      <c r="AA49" s="118">
        <f>SUM(AA50:AA57)</f>
        <v>1740000</v>
      </c>
      <c r="AB49" s="118">
        <f>SUM(AB50:AB57)</f>
        <v>1740000</v>
      </c>
      <c r="AC49" s="121"/>
      <c r="AD49" s="100"/>
      <c r="AE49" s="100"/>
      <c r="AF49" s="100"/>
      <c r="AG49" s="100"/>
      <c r="AH49" s="100"/>
      <c r="AI49" s="100"/>
      <c r="AJ49" s="100"/>
      <c r="AK49" s="100"/>
      <c r="AL49" s="100"/>
      <c r="AM49" s="100"/>
      <c r="AN49" s="100"/>
      <c r="AO49" s="100"/>
    </row>
    <row r="50" spans="1:41" s="99" customFormat="1" ht="18" customHeight="1">
      <c r="A50" s="119" t="s">
        <v>408</v>
      </c>
      <c r="B50" s="121">
        <v>1955300</v>
      </c>
      <c r="C50" s="121">
        <v>1216800</v>
      </c>
      <c r="D50" s="121">
        <v>3172100</v>
      </c>
      <c r="E50" s="121">
        <v>7090000</v>
      </c>
      <c r="F50" s="124">
        <v>3677100</v>
      </c>
      <c r="G50" s="120">
        <v>10767100</v>
      </c>
      <c r="H50" s="120"/>
      <c r="I50" s="120"/>
      <c r="J50" s="120"/>
      <c r="K50" s="121">
        <v>19287744</v>
      </c>
      <c r="L50" s="121">
        <v>7319006.88</v>
      </c>
      <c r="M50" s="121">
        <v>26606750.88</v>
      </c>
      <c r="N50" s="121">
        <f>4061488.56+3500000</f>
        <v>7561488.5600000005</v>
      </c>
      <c r="O50" s="121">
        <v>6113851.44</v>
      </c>
      <c r="P50" s="120">
        <v>13675340</v>
      </c>
      <c r="Q50" s="121">
        <v>4304787</v>
      </c>
      <c r="R50" s="121">
        <v>1470472.4</v>
      </c>
      <c r="S50" s="121">
        <v>5775259.4</v>
      </c>
      <c r="T50" s="121">
        <v>2070455.97</v>
      </c>
      <c r="U50" s="121">
        <v>140855.34</v>
      </c>
      <c r="V50" s="121">
        <v>2211311.31</v>
      </c>
      <c r="W50" s="121">
        <v>919104.31</v>
      </c>
      <c r="X50" s="121">
        <v>28466.72</v>
      </c>
      <c r="Y50" s="121">
        <v>947571.03</v>
      </c>
      <c r="Z50" s="121"/>
      <c r="AA50" s="121">
        <v>720000</v>
      </c>
      <c r="AB50" s="121">
        <v>720000</v>
      </c>
      <c r="AC50" s="121"/>
      <c r="AD50" s="100"/>
      <c r="AE50" s="100"/>
      <c r="AF50" s="100"/>
      <c r="AG50" s="100"/>
      <c r="AH50" s="100"/>
      <c r="AI50" s="100"/>
      <c r="AJ50" s="100"/>
      <c r="AK50" s="100"/>
      <c r="AL50" s="100"/>
      <c r="AM50" s="100"/>
      <c r="AN50" s="100"/>
      <c r="AO50" s="100"/>
    </row>
    <row r="51" spans="1:41" s="99" customFormat="1" ht="18" customHeight="1">
      <c r="A51" s="119" t="s">
        <v>409</v>
      </c>
      <c r="B51" s="121"/>
      <c r="C51" s="121">
        <v>251800</v>
      </c>
      <c r="D51" s="121">
        <v>251800</v>
      </c>
      <c r="E51" s="121"/>
      <c r="F51" s="121">
        <v>1134900</v>
      </c>
      <c r="G51" s="121">
        <v>1134900</v>
      </c>
      <c r="H51" s="120"/>
      <c r="I51" s="120"/>
      <c r="J51" s="120"/>
      <c r="K51" s="121"/>
      <c r="L51" s="121">
        <v>266067.51</v>
      </c>
      <c r="M51" s="121">
        <v>266067.51</v>
      </c>
      <c r="N51" s="121"/>
      <c r="O51" s="121">
        <v>68376.7</v>
      </c>
      <c r="P51" s="121">
        <v>68376.7</v>
      </c>
      <c r="Q51" s="121"/>
      <c r="R51" s="121"/>
      <c r="S51" s="121"/>
      <c r="T51" s="121"/>
      <c r="U51" s="121"/>
      <c r="V51" s="121">
        <v>11056.55</v>
      </c>
      <c r="W51" s="121"/>
      <c r="X51" s="121">
        <v>4737.86</v>
      </c>
      <c r="Y51" s="121">
        <v>4737.86</v>
      </c>
      <c r="Z51" s="121"/>
      <c r="AA51" s="121">
        <v>1000000</v>
      </c>
      <c r="AB51" s="121">
        <v>1000000</v>
      </c>
      <c r="AC51" s="103"/>
      <c r="AD51" s="100"/>
      <c r="AE51" s="100"/>
      <c r="AF51" s="100"/>
      <c r="AG51" s="100"/>
      <c r="AH51" s="100"/>
      <c r="AI51" s="100"/>
      <c r="AJ51" s="100"/>
      <c r="AK51" s="100"/>
      <c r="AL51" s="100"/>
      <c r="AM51" s="100"/>
      <c r="AN51" s="100"/>
      <c r="AO51" s="100"/>
    </row>
    <row r="52" spans="1:41" s="99" customFormat="1" ht="18" customHeight="1">
      <c r="A52" s="119" t="s">
        <v>410</v>
      </c>
      <c r="B52" s="121"/>
      <c r="C52" s="121"/>
      <c r="D52" s="121">
        <v>41100</v>
      </c>
      <c r="E52" s="121"/>
      <c r="F52" s="121"/>
      <c r="G52" s="121"/>
      <c r="H52" s="120"/>
      <c r="I52" s="120"/>
      <c r="J52" s="120"/>
      <c r="K52" s="121"/>
      <c r="L52" s="121"/>
      <c r="M52" s="120"/>
      <c r="N52" s="121"/>
      <c r="O52" s="121"/>
      <c r="P52" s="120"/>
      <c r="Q52" s="121"/>
      <c r="R52" s="121"/>
      <c r="S52" s="121"/>
      <c r="T52" s="121"/>
      <c r="U52" s="121"/>
      <c r="V52" s="121"/>
      <c r="W52" s="121"/>
      <c r="X52" s="121"/>
      <c r="Y52" s="121"/>
      <c r="Z52" s="121"/>
      <c r="AA52" s="121"/>
      <c r="AB52" s="121"/>
      <c r="AC52" s="103"/>
      <c r="AD52" s="100"/>
      <c r="AE52" s="100"/>
      <c r="AF52" s="100"/>
      <c r="AG52" s="100"/>
      <c r="AH52" s="100"/>
      <c r="AI52" s="100"/>
      <c r="AJ52" s="100"/>
      <c r="AK52" s="100"/>
      <c r="AL52" s="100"/>
      <c r="AM52" s="100"/>
      <c r="AN52" s="100"/>
      <c r="AO52" s="100"/>
    </row>
    <row r="53" spans="1:41" s="99" customFormat="1" ht="18" customHeight="1">
      <c r="A53" s="119" t="s">
        <v>411</v>
      </c>
      <c r="B53" s="121"/>
      <c r="C53" s="121">
        <v>18800</v>
      </c>
      <c r="D53" s="121">
        <v>18800</v>
      </c>
      <c r="E53" s="121"/>
      <c r="F53" s="121">
        <v>60100</v>
      </c>
      <c r="G53" s="121">
        <v>60100</v>
      </c>
      <c r="H53" s="120"/>
      <c r="I53" s="120"/>
      <c r="J53" s="120"/>
      <c r="K53" s="121"/>
      <c r="L53" s="121">
        <v>70829.01</v>
      </c>
      <c r="M53" s="121">
        <v>70829.01</v>
      </c>
      <c r="N53" s="121"/>
      <c r="O53" s="121">
        <v>47045.07</v>
      </c>
      <c r="P53" s="121">
        <v>47045.07</v>
      </c>
      <c r="Q53" s="121"/>
      <c r="R53" s="121">
        <v>21896.78</v>
      </c>
      <c r="S53" s="121">
        <v>21896.78</v>
      </c>
      <c r="T53" s="121">
        <v>4679.39</v>
      </c>
      <c r="U53" s="121"/>
      <c r="V53" s="121">
        <v>8955.81</v>
      </c>
      <c r="W53" s="121"/>
      <c r="X53" s="121">
        <v>3000</v>
      </c>
      <c r="Y53" s="121">
        <v>3837.66</v>
      </c>
      <c r="Z53" s="121"/>
      <c r="AA53" s="121"/>
      <c r="AB53" s="121"/>
      <c r="AC53" s="103"/>
      <c r="AD53" s="100"/>
      <c r="AE53" s="100"/>
      <c r="AF53" s="100"/>
      <c r="AG53" s="100"/>
      <c r="AH53" s="100"/>
      <c r="AI53" s="100"/>
      <c r="AJ53" s="100"/>
      <c r="AK53" s="100"/>
      <c r="AL53" s="100"/>
      <c r="AM53" s="100"/>
      <c r="AN53" s="100"/>
      <c r="AO53" s="100"/>
    </row>
    <row r="54" spans="1:41" s="99" customFormat="1" ht="18" customHeight="1">
      <c r="A54" s="119" t="s">
        <v>412</v>
      </c>
      <c r="B54" s="121"/>
      <c r="C54" s="121"/>
      <c r="D54" s="120"/>
      <c r="E54" s="121"/>
      <c r="F54" s="121"/>
      <c r="G54" s="120"/>
      <c r="H54" s="120"/>
      <c r="I54" s="120"/>
      <c r="J54" s="120"/>
      <c r="K54" s="121"/>
      <c r="L54" s="121"/>
      <c r="M54" s="120"/>
      <c r="N54" s="121"/>
      <c r="O54" s="121"/>
      <c r="P54" s="120"/>
      <c r="Q54" s="121"/>
      <c r="R54" s="121"/>
      <c r="S54" s="121"/>
      <c r="T54" s="121"/>
      <c r="U54" s="121"/>
      <c r="V54" s="121"/>
      <c r="W54" s="121"/>
      <c r="X54" s="121"/>
      <c r="Y54" s="121"/>
      <c r="Z54" s="121"/>
      <c r="AA54" s="121"/>
      <c r="AB54" s="121"/>
      <c r="AC54" s="103"/>
      <c r="AD54" s="100"/>
      <c r="AE54" s="100"/>
      <c r="AF54" s="100"/>
      <c r="AG54" s="100"/>
      <c r="AH54" s="100"/>
      <c r="AI54" s="100"/>
      <c r="AJ54" s="100"/>
      <c r="AK54" s="100"/>
      <c r="AL54" s="100"/>
      <c r="AM54" s="100"/>
      <c r="AN54" s="100"/>
      <c r="AO54" s="100"/>
    </row>
    <row r="55" spans="1:41" s="99" customFormat="1" ht="18" customHeight="1">
      <c r="A55" s="119" t="s">
        <v>413</v>
      </c>
      <c r="B55" s="121"/>
      <c r="C55" s="121"/>
      <c r="D55" s="120"/>
      <c r="E55" s="121"/>
      <c r="F55" s="121"/>
      <c r="G55" s="120"/>
      <c r="H55" s="120"/>
      <c r="I55" s="120"/>
      <c r="J55" s="120"/>
      <c r="K55" s="121"/>
      <c r="L55" s="121"/>
      <c r="M55" s="120"/>
      <c r="N55" s="121"/>
      <c r="O55" s="121"/>
      <c r="P55" s="120"/>
      <c r="Q55" s="121"/>
      <c r="R55" s="121"/>
      <c r="S55" s="121"/>
      <c r="T55" s="121"/>
      <c r="U55" s="121"/>
      <c r="V55" s="121"/>
      <c r="W55" s="121"/>
      <c r="X55" s="121"/>
      <c r="Y55" s="121"/>
      <c r="Z55" s="121"/>
      <c r="AA55" s="121"/>
      <c r="AB55" s="121"/>
      <c r="AC55" s="103"/>
      <c r="AD55" s="100"/>
      <c r="AE55" s="100"/>
      <c r="AF55" s="100"/>
      <c r="AG55" s="100"/>
      <c r="AH55" s="100"/>
      <c r="AI55" s="100"/>
      <c r="AJ55" s="100"/>
      <c r="AK55" s="100"/>
      <c r="AL55" s="100"/>
      <c r="AM55" s="100"/>
      <c r="AN55" s="100"/>
      <c r="AO55" s="100"/>
    </row>
    <row r="56" spans="1:41" s="99" customFormat="1" ht="18" customHeight="1">
      <c r="A56" s="119" t="s">
        <v>414</v>
      </c>
      <c r="B56" s="121">
        <v>44700</v>
      </c>
      <c r="C56" s="121">
        <v>45700</v>
      </c>
      <c r="D56" s="121">
        <v>90400</v>
      </c>
      <c r="E56" s="121">
        <v>110000</v>
      </c>
      <c r="F56" s="121">
        <v>167300</v>
      </c>
      <c r="G56" s="121">
        <v>277300</v>
      </c>
      <c r="H56" s="120"/>
      <c r="I56" s="120"/>
      <c r="J56" s="120"/>
      <c r="K56" s="121">
        <v>300000</v>
      </c>
      <c r="L56" s="121">
        <v>329605.82</v>
      </c>
      <c r="M56" s="121">
        <v>629605.82</v>
      </c>
      <c r="N56" s="121">
        <f>35479+59133</f>
        <v>94612</v>
      </c>
      <c r="O56" s="121">
        <v>24754.53</v>
      </c>
      <c r="P56" s="121">
        <v>119366.53</v>
      </c>
      <c r="Q56" s="121">
        <v>63250</v>
      </c>
      <c r="R56" s="121">
        <v>65331.82</v>
      </c>
      <c r="S56" s="121">
        <v>128581.82</v>
      </c>
      <c r="T56" s="121">
        <v>60638.29</v>
      </c>
      <c r="U56" s="121"/>
      <c r="V56" s="121">
        <v>58378.62</v>
      </c>
      <c r="W56" s="121">
        <v>38462.54</v>
      </c>
      <c r="X56" s="121"/>
      <c r="Y56" s="121">
        <v>25015.88</v>
      </c>
      <c r="Z56" s="121"/>
      <c r="AA56" s="121">
        <v>20000</v>
      </c>
      <c r="AB56" s="121">
        <v>20000</v>
      </c>
      <c r="AC56" s="103"/>
      <c r="AD56" s="100"/>
      <c r="AE56" s="100"/>
      <c r="AF56" s="100"/>
      <c r="AG56" s="100"/>
      <c r="AH56" s="100"/>
      <c r="AI56" s="100"/>
      <c r="AJ56" s="100"/>
      <c r="AK56" s="100"/>
      <c r="AL56" s="100"/>
      <c r="AM56" s="100"/>
      <c r="AN56" s="100"/>
      <c r="AO56" s="100"/>
    </row>
    <row r="57" spans="1:41" s="99" customFormat="1" ht="18" customHeight="1">
      <c r="A57" s="119" t="s">
        <v>415</v>
      </c>
      <c r="B57" s="120"/>
      <c r="C57" s="121">
        <v>15400</v>
      </c>
      <c r="D57" s="121">
        <v>15400</v>
      </c>
      <c r="E57" s="121"/>
      <c r="F57" s="121">
        <v>53600</v>
      </c>
      <c r="G57" s="121">
        <v>53600</v>
      </c>
      <c r="H57" s="120"/>
      <c r="I57" s="120"/>
      <c r="J57" s="120"/>
      <c r="K57" s="120"/>
      <c r="L57" s="121">
        <v>79820.25</v>
      </c>
      <c r="M57" s="121">
        <v>79820.25</v>
      </c>
      <c r="N57" s="121"/>
      <c r="O57" s="121">
        <v>61539.03</v>
      </c>
      <c r="P57" s="121">
        <v>61539.03</v>
      </c>
      <c r="Q57" s="121">
        <v>20318.5</v>
      </c>
      <c r="R57" s="121">
        <v>25328.68</v>
      </c>
      <c r="S57" s="130">
        <v>45647.18</v>
      </c>
      <c r="T57" s="121">
        <v>15200</v>
      </c>
      <c r="U57" s="121"/>
      <c r="V57" s="121">
        <v>9950.9</v>
      </c>
      <c r="W57" s="121">
        <v>6180</v>
      </c>
      <c r="X57" s="121"/>
      <c r="Y57" s="121"/>
      <c r="Z57" s="121"/>
      <c r="AA57" s="121"/>
      <c r="AB57" s="121"/>
      <c r="AC57" s="103"/>
      <c r="AD57" s="100"/>
      <c r="AE57" s="100"/>
      <c r="AF57" s="100"/>
      <c r="AG57" s="100"/>
      <c r="AH57" s="100"/>
      <c r="AI57" s="100"/>
      <c r="AJ57" s="100"/>
      <c r="AK57" s="100"/>
      <c r="AL57" s="100"/>
      <c r="AM57" s="100"/>
      <c r="AN57" s="100"/>
      <c r="AO57" s="100"/>
    </row>
    <row r="58" spans="1:41" s="99" customFormat="1" ht="18" customHeight="1">
      <c r="A58" s="119" t="s">
        <v>416</v>
      </c>
      <c r="B58" s="122">
        <f aca="true" t="shared" si="5" ref="B58:U58">SUM(B59:B64)</f>
        <v>0</v>
      </c>
      <c r="C58" s="122">
        <f t="shared" si="5"/>
        <v>0</v>
      </c>
      <c r="D58" s="122">
        <f t="shared" si="5"/>
        <v>0</v>
      </c>
      <c r="E58" s="122">
        <f t="shared" si="5"/>
        <v>0</v>
      </c>
      <c r="F58" s="122">
        <f t="shared" si="5"/>
        <v>0</v>
      </c>
      <c r="G58" s="122">
        <f t="shared" si="5"/>
        <v>0</v>
      </c>
      <c r="H58" s="122">
        <f t="shared" si="5"/>
        <v>0</v>
      </c>
      <c r="I58" s="122">
        <f t="shared" si="5"/>
        <v>0</v>
      </c>
      <c r="J58" s="122">
        <f t="shared" si="5"/>
        <v>0</v>
      </c>
      <c r="K58" s="122">
        <f t="shared" si="5"/>
        <v>0</v>
      </c>
      <c r="L58" s="122">
        <f t="shared" si="5"/>
        <v>0</v>
      </c>
      <c r="M58" s="122">
        <f t="shared" si="5"/>
        <v>0</v>
      </c>
      <c r="N58" s="122">
        <f t="shared" si="5"/>
        <v>0</v>
      </c>
      <c r="O58" s="122">
        <f t="shared" si="5"/>
        <v>0</v>
      </c>
      <c r="P58" s="122">
        <f t="shared" si="5"/>
        <v>0</v>
      </c>
      <c r="Q58" s="122">
        <f t="shared" si="5"/>
        <v>0</v>
      </c>
      <c r="R58" s="133">
        <f t="shared" si="5"/>
        <v>0</v>
      </c>
      <c r="S58" s="122">
        <f t="shared" si="5"/>
        <v>0</v>
      </c>
      <c r="T58" s="122">
        <f t="shared" si="5"/>
        <v>0</v>
      </c>
      <c r="U58" s="122">
        <f t="shared" si="5"/>
        <v>0</v>
      </c>
      <c r="V58" s="122">
        <v>0</v>
      </c>
      <c r="W58" s="133">
        <v>0</v>
      </c>
      <c r="X58" s="133">
        <v>0</v>
      </c>
      <c r="Y58" s="133"/>
      <c r="Z58" s="133"/>
      <c r="AA58" s="133"/>
      <c r="AB58" s="133"/>
      <c r="AC58" s="103"/>
      <c r="AD58" s="100"/>
      <c r="AE58" s="100"/>
      <c r="AF58" s="100"/>
      <c r="AG58" s="100"/>
      <c r="AH58" s="100"/>
      <c r="AI58" s="100"/>
      <c r="AJ58" s="100"/>
      <c r="AK58" s="100"/>
      <c r="AL58" s="100"/>
      <c r="AM58" s="100"/>
      <c r="AN58" s="100"/>
      <c r="AO58" s="100"/>
    </row>
    <row r="59" spans="1:41" s="99" customFormat="1" ht="18" customHeight="1">
      <c r="A59" s="119" t="s">
        <v>417</v>
      </c>
      <c r="B59" s="121"/>
      <c r="C59" s="121"/>
      <c r="D59" s="121"/>
      <c r="E59" s="121"/>
      <c r="F59" s="121"/>
      <c r="G59" s="121"/>
      <c r="H59" s="120"/>
      <c r="I59" s="120"/>
      <c r="J59" s="121"/>
      <c r="K59" s="121"/>
      <c r="L59" s="121"/>
      <c r="M59" s="121"/>
      <c r="N59" s="121"/>
      <c r="O59" s="121"/>
      <c r="P59" s="121"/>
      <c r="Q59" s="121"/>
      <c r="R59" s="121"/>
      <c r="S59" s="121"/>
      <c r="T59" s="121"/>
      <c r="U59" s="121"/>
      <c r="V59" s="121"/>
      <c r="W59" s="121"/>
      <c r="X59" s="121"/>
      <c r="Y59" s="121"/>
      <c r="Z59" s="121"/>
      <c r="AA59" s="121"/>
      <c r="AB59" s="121"/>
      <c r="AC59" s="103"/>
      <c r="AD59" s="100"/>
      <c r="AE59" s="100"/>
      <c r="AF59" s="100"/>
      <c r="AG59" s="100"/>
      <c r="AH59" s="100"/>
      <c r="AI59" s="100"/>
      <c r="AJ59" s="100"/>
      <c r="AK59" s="100"/>
      <c r="AL59" s="100"/>
      <c r="AM59" s="100"/>
      <c r="AN59" s="100"/>
      <c r="AO59" s="100"/>
    </row>
    <row r="60" spans="1:41" s="99" customFormat="1" ht="18" customHeight="1">
      <c r="A60" s="119" t="s">
        <v>418</v>
      </c>
      <c r="B60" s="121"/>
      <c r="C60" s="121"/>
      <c r="D60" s="121"/>
      <c r="E60" s="121"/>
      <c r="F60" s="121"/>
      <c r="G60" s="121"/>
      <c r="H60" s="120"/>
      <c r="I60" s="120"/>
      <c r="J60" s="121"/>
      <c r="K60" s="121"/>
      <c r="L60" s="121"/>
      <c r="M60" s="121"/>
      <c r="N60" s="121"/>
      <c r="O60" s="121"/>
      <c r="P60" s="121"/>
      <c r="Q60" s="121"/>
      <c r="R60" s="121"/>
      <c r="S60" s="121"/>
      <c r="T60" s="121"/>
      <c r="U60" s="121"/>
      <c r="V60" s="121"/>
      <c r="W60" s="121"/>
      <c r="X60" s="121"/>
      <c r="Y60" s="121"/>
      <c r="Z60" s="121"/>
      <c r="AA60" s="121"/>
      <c r="AB60" s="121"/>
      <c r="AC60" s="103"/>
      <c r="AD60" s="100"/>
      <c r="AE60" s="100"/>
      <c r="AF60" s="100"/>
      <c r="AG60" s="100"/>
      <c r="AH60" s="100"/>
      <c r="AI60" s="100"/>
      <c r="AJ60" s="100"/>
      <c r="AK60" s="100"/>
      <c r="AL60" s="100"/>
      <c r="AM60" s="100"/>
      <c r="AN60" s="100"/>
      <c r="AO60" s="100"/>
    </row>
    <row r="61" spans="1:41" s="99" customFormat="1" ht="18" customHeight="1">
      <c r="A61" s="119" t="s">
        <v>419</v>
      </c>
      <c r="B61" s="121"/>
      <c r="C61" s="121"/>
      <c r="D61" s="121"/>
      <c r="E61" s="121"/>
      <c r="F61" s="121"/>
      <c r="G61" s="121"/>
      <c r="H61" s="120"/>
      <c r="I61" s="120"/>
      <c r="J61" s="121"/>
      <c r="K61" s="121"/>
      <c r="L61" s="121"/>
      <c r="M61" s="121"/>
      <c r="N61" s="121"/>
      <c r="O61" s="121"/>
      <c r="P61" s="121"/>
      <c r="Q61" s="121"/>
      <c r="R61" s="121"/>
      <c r="S61" s="121"/>
      <c r="T61" s="121"/>
      <c r="U61" s="121"/>
      <c r="V61" s="121"/>
      <c r="W61" s="121"/>
      <c r="X61" s="121"/>
      <c r="Y61" s="121"/>
      <c r="Z61" s="121"/>
      <c r="AA61" s="121"/>
      <c r="AB61" s="121"/>
      <c r="AC61" s="103"/>
      <c r="AD61" s="100"/>
      <c r="AE61" s="100"/>
      <c r="AF61" s="100"/>
      <c r="AG61" s="100"/>
      <c r="AH61" s="100"/>
      <c r="AI61" s="100"/>
      <c r="AJ61" s="100"/>
      <c r="AK61" s="100"/>
      <c r="AL61" s="100"/>
      <c r="AM61" s="100"/>
      <c r="AN61" s="100"/>
      <c r="AO61" s="100"/>
    </row>
    <row r="62" spans="1:41" s="99" customFormat="1" ht="18" customHeight="1">
      <c r="A62" s="119" t="s">
        <v>420</v>
      </c>
      <c r="B62" s="121"/>
      <c r="C62" s="121"/>
      <c r="D62" s="121"/>
      <c r="E62" s="121"/>
      <c r="F62" s="121"/>
      <c r="G62" s="121"/>
      <c r="H62" s="120"/>
      <c r="I62" s="120"/>
      <c r="J62" s="121"/>
      <c r="K62" s="121"/>
      <c r="L62" s="121"/>
      <c r="M62" s="121"/>
      <c r="N62" s="121"/>
      <c r="O62" s="121"/>
      <c r="P62" s="121"/>
      <c r="Q62" s="121"/>
      <c r="R62" s="121"/>
      <c r="S62" s="121"/>
      <c r="T62" s="121"/>
      <c r="U62" s="121"/>
      <c r="V62" s="121"/>
      <c r="W62" s="121"/>
      <c r="X62" s="121"/>
      <c r="Y62" s="121"/>
      <c r="Z62" s="121"/>
      <c r="AA62" s="121"/>
      <c r="AB62" s="121"/>
      <c r="AC62" s="103"/>
      <c r="AD62" s="100"/>
      <c r="AE62" s="100"/>
      <c r="AF62" s="100"/>
      <c r="AG62" s="100"/>
      <c r="AH62" s="100"/>
      <c r="AI62" s="100"/>
      <c r="AJ62" s="100"/>
      <c r="AK62" s="100"/>
      <c r="AL62" s="100"/>
      <c r="AM62" s="100"/>
      <c r="AN62" s="100"/>
      <c r="AO62" s="100"/>
    </row>
    <row r="63" spans="1:41" s="99" customFormat="1" ht="18" customHeight="1">
      <c r="A63" s="119" t="s">
        <v>421</v>
      </c>
      <c r="B63" s="121"/>
      <c r="C63" s="121"/>
      <c r="D63" s="121"/>
      <c r="E63" s="121"/>
      <c r="F63" s="121"/>
      <c r="G63" s="121"/>
      <c r="H63" s="120"/>
      <c r="I63" s="120"/>
      <c r="J63" s="121"/>
      <c r="K63" s="121"/>
      <c r="L63" s="121"/>
      <c r="M63" s="121"/>
      <c r="N63" s="121"/>
      <c r="O63" s="121"/>
      <c r="P63" s="121"/>
      <c r="Q63" s="121"/>
      <c r="R63" s="121"/>
      <c r="S63" s="121"/>
      <c r="T63" s="121"/>
      <c r="U63" s="121"/>
      <c r="V63" s="121"/>
      <c r="W63" s="121"/>
      <c r="X63" s="121"/>
      <c r="Y63" s="121"/>
      <c r="Z63" s="121"/>
      <c r="AA63" s="121"/>
      <c r="AB63" s="121"/>
      <c r="AC63" s="103"/>
      <c r="AD63" s="100"/>
      <c r="AE63" s="100"/>
      <c r="AF63" s="100"/>
      <c r="AG63" s="100"/>
      <c r="AH63" s="100"/>
      <c r="AI63" s="100"/>
      <c r="AJ63" s="100"/>
      <c r="AK63" s="100"/>
      <c r="AL63" s="100"/>
      <c r="AM63" s="100"/>
      <c r="AN63" s="100"/>
      <c r="AO63" s="100"/>
    </row>
    <row r="64" spans="1:41" s="99" customFormat="1" ht="18" customHeight="1">
      <c r="A64" s="119" t="s">
        <v>422</v>
      </c>
      <c r="B64" s="121"/>
      <c r="C64" s="121"/>
      <c r="D64" s="121"/>
      <c r="E64" s="121"/>
      <c r="F64" s="121"/>
      <c r="G64" s="121"/>
      <c r="H64" s="120"/>
      <c r="I64" s="120"/>
      <c r="J64" s="121"/>
      <c r="K64" s="121"/>
      <c r="L64" s="121"/>
      <c r="M64" s="121"/>
      <c r="N64" s="121"/>
      <c r="O64" s="121"/>
      <c r="P64" s="121"/>
      <c r="Q64" s="121"/>
      <c r="R64" s="121"/>
      <c r="S64" s="121"/>
      <c r="T64" s="121"/>
      <c r="U64" s="121"/>
      <c r="V64" s="121"/>
      <c r="W64" s="121"/>
      <c r="X64" s="121"/>
      <c r="Y64" s="121"/>
      <c r="Z64" s="121"/>
      <c r="AA64" s="121"/>
      <c r="AB64" s="121"/>
      <c r="AC64" s="103"/>
      <c r="AD64" s="100"/>
      <c r="AE64" s="100"/>
      <c r="AF64" s="100"/>
      <c r="AG64" s="100"/>
      <c r="AH64" s="100"/>
      <c r="AI64" s="100"/>
      <c r="AJ64" s="100"/>
      <c r="AK64" s="100"/>
      <c r="AL64" s="100"/>
      <c r="AM64" s="100"/>
      <c r="AN64" s="100"/>
      <c r="AO64" s="100"/>
    </row>
    <row r="65" spans="1:41" s="99" customFormat="1" ht="18" customHeight="1">
      <c r="A65" s="119" t="s">
        <v>423</v>
      </c>
      <c r="B65" s="141"/>
      <c r="C65" s="121">
        <v>81000</v>
      </c>
      <c r="D65" s="121">
        <v>81000</v>
      </c>
      <c r="E65" s="120"/>
      <c r="F65" s="121">
        <v>277100</v>
      </c>
      <c r="G65" s="121">
        <v>277100</v>
      </c>
      <c r="H65" s="120"/>
      <c r="I65" s="120"/>
      <c r="J65" s="120"/>
      <c r="K65" s="120">
        <v>412256</v>
      </c>
      <c r="L65" s="121">
        <v>103064.69</v>
      </c>
      <c r="M65" s="120">
        <v>515320.69</v>
      </c>
      <c r="N65" s="120"/>
      <c r="O65" s="121">
        <v>286722.49</v>
      </c>
      <c r="P65" s="121">
        <v>286722.49</v>
      </c>
      <c r="Q65" s="120">
        <v>58390</v>
      </c>
      <c r="R65" s="121">
        <v>14599.27</v>
      </c>
      <c r="S65" s="121">
        <v>72989.27</v>
      </c>
      <c r="T65" s="121">
        <v>39803.61</v>
      </c>
      <c r="U65" s="121">
        <v>4422.62</v>
      </c>
      <c r="V65" s="121">
        <v>44226.23</v>
      </c>
      <c r="W65" s="121">
        <v>17056.28</v>
      </c>
      <c r="X65" s="121">
        <v>1895.14</v>
      </c>
      <c r="Y65" s="121">
        <v>18951.42</v>
      </c>
      <c r="Z65" s="121"/>
      <c r="AA65" s="121"/>
      <c r="AB65" s="121"/>
      <c r="AC65" s="126"/>
      <c r="AD65" s="100"/>
      <c r="AE65" s="100"/>
      <c r="AF65" s="100"/>
      <c r="AG65" s="100"/>
      <c r="AH65" s="100"/>
      <c r="AI65" s="100"/>
      <c r="AJ65" s="100"/>
      <c r="AK65" s="100"/>
      <c r="AL65" s="100"/>
      <c r="AM65" s="100"/>
      <c r="AN65" s="100"/>
      <c r="AO65" s="100"/>
    </row>
    <row r="66" spans="1:41" s="99" customFormat="1" ht="18" customHeight="1">
      <c r="A66" s="103"/>
      <c r="B66" s="126"/>
      <c r="C66" s="142" t="s">
        <v>310</v>
      </c>
      <c r="D66" s="103"/>
      <c r="E66" s="103"/>
      <c r="F66" s="126"/>
      <c r="G66" s="142" t="s">
        <v>328</v>
      </c>
      <c r="H66" s="103"/>
      <c r="I66" s="103"/>
      <c r="J66" s="103"/>
      <c r="K66" s="103"/>
      <c r="L66" s="103"/>
      <c r="M66" s="103"/>
      <c r="N66" s="103"/>
      <c r="O66" s="103"/>
      <c r="P66" s="103"/>
      <c r="Q66" s="103"/>
      <c r="R66" s="103"/>
      <c r="S66" s="103"/>
      <c r="T66" s="103"/>
      <c r="U66" s="103"/>
      <c r="V66" s="103"/>
      <c r="W66" s="103"/>
      <c r="X66" s="103"/>
      <c r="Y66" s="103"/>
      <c r="Z66" s="103"/>
      <c r="AA66" s="103"/>
      <c r="AB66" s="103"/>
      <c r="AC66" s="103"/>
      <c r="AD66" s="100"/>
      <c r="AE66" s="100"/>
      <c r="AF66" s="100"/>
      <c r="AG66" s="100"/>
      <c r="AH66" s="100"/>
      <c r="AI66" s="100"/>
      <c r="AJ66" s="100"/>
      <c r="AK66" s="100"/>
      <c r="AL66" s="100"/>
      <c r="AM66" s="100"/>
      <c r="AN66" s="100"/>
      <c r="AO66" s="100"/>
    </row>
    <row r="67" spans="1:41" s="99" customFormat="1" ht="18" customHeight="1">
      <c r="A67" s="103" t="s">
        <v>424</v>
      </c>
      <c r="B67" s="103" t="s">
        <v>425</v>
      </c>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0"/>
      <c r="AE67" s="100"/>
      <c r="AF67" s="100"/>
      <c r="AG67" s="100"/>
      <c r="AH67" s="100"/>
      <c r="AI67" s="100"/>
      <c r="AJ67" s="100"/>
      <c r="AK67" s="100"/>
      <c r="AL67" s="100"/>
      <c r="AM67" s="100"/>
      <c r="AN67" s="100"/>
      <c r="AO67" s="100"/>
    </row>
    <row r="68" spans="1:41" s="99" customFormat="1" ht="18" customHeight="1">
      <c r="A68" s="103"/>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0"/>
      <c r="AE68" s="100"/>
      <c r="AF68" s="100"/>
      <c r="AG68" s="100"/>
      <c r="AH68" s="100"/>
      <c r="AI68" s="100"/>
      <c r="AJ68" s="100"/>
      <c r="AK68" s="100"/>
      <c r="AL68" s="100"/>
      <c r="AM68" s="100"/>
      <c r="AN68" s="100"/>
      <c r="AO68" s="100"/>
    </row>
    <row r="69" spans="1:41" s="99" customFormat="1" ht="18" customHeight="1">
      <c r="A69" s="103"/>
      <c r="B69" s="126"/>
      <c r="C69" s="126"/>
      <c r="D69" s="126"/>
      <c r="E69" s="126"/>
      <c r="F69" s="126"/>
      <c r="G69" s="126"/>
      <c r="H69" s="126"/>
      <c r="I69" s="103"/>
      <c r="J69" s="103"/>
      <c r="K69" s="103"/>
      <c r="L69" s="103"/>
      <c r="M69" s="103"/>
      <c r="N69" s="103"/>
      <c r="O69" s="103"/>
      <c r="P69" s="103"/>
      <c r="Q69" s="103"/>
      <c r="R69" s="103"/>
      <c r="S69" s="103"/>
      <c r="T69" s="103"/>
      <c r="U69" s="103"/>
      <c r="V69" s="103"/>
      <c r="W69" s="103"/>
      <c r="X69" s="103"/>
      <c r="Y69" s="103"/>
      <c r="Z69" s="103"/>
      <c r="AA69" s="103"/>
      <c r="AB69" s="103"/>
      <c r="AC69" s="103"/>
      <c r="AD69" s="100"/>
      <c r="AE69" s="100"/>
      <c r="AF69" s="100"/>
      <c r="AG69" s="100"/>
      <c r="AH69" s="100"/>
      <c r="AI69" s="100"/>
      <c r="AJ69" s="100"/>
      <c r="AK69" s="100"/>
      <c r="AL69" s="100"/>
      <c r="AM69" s="100"/>
      <c r="AN69" s="100"/>
      <c r="AO69" s="100"/>
    </row>
    <row r="70" spans="1:29" s="99" customFormat="1" ht="12.75">
      <c r="A70" s="100"/>
      <c r="B70" s="101"/>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row>
    <row r="71" spans="1:29" s="99" customFormat="1" ht="12.75">
      <c r="A71" s="100"/>
      <c r="B71" s="101"/>
      <c r="C71" s="100"/>
      <c r="D71" s="100"/>
      <c r="E71" s="100"/>
      <c r="F71" s="100"/>
      <c r="G71" s="143"/>
      <c r="H71" s="100"/>
      <c r="I71" s="100"/>
      <c r="J71" s="100"/>
      <c r="K71" s="100"/>
      <c r="L71" s="100"/>
      <c r="M71" s="100"/>
      <c r="N71" s="100"/>
      <c r="O71" s="100"/>
      <c r="P71" s="100"/>
      <c r="Q71" s="100"/>
      <c r="R71" s="100"/>
      <c r="S71" s="100"/>
      <c r="T71" s="100"/>
      <c r="U71" s="100"/>
      <c r="V71" s="100"/>
      <c r="W71" s="100"/>
      <c r="X71" s="100"/>
      <c r="Y71" s="100"/>
      <c r="Z71" s="100"/>
      <c r="AA71" s="100"/>
      <c r="AB71" s="100"/>
      <c r="AC71" s="100"/>
    </row>
  </sheetData>
  <sheetProtection/>
  <protectedRanges>
    <protectedRange sqref="B41:AH41 B58:AH58" name="区域2"/>
    <protectedRange sqref="D7:D8 D13 D49 G49:J49 G13:J13 G7:J8 M7:M8 P7:P8 M13 P13 M49 P49" name="区域1"/>
    <protectedRange sqref="D41 D58 G58:J58 G41:J41 M41 P41 M58 P58" name="区域2_1"/>
    <protectedRange sqref="B7:C8 B13:C13 B42:C49" name="区域1_1"/>
    <protectedRange sqref="B41:C41 B58:C58" name="区域2_1_1"/>
    <protectedRange sqref="E7:F8 E13:F13 E49:F49" name="区域1_2"/>
    <protectedRange sqref="E41:F41 E58:F58" name="区域2_2"/>
    <protectedRange sqref="K7:L8 K13:L13 K49:L49" name="区域1_3"/>
    <protectedRange sqref="K41:L41 K58:L58" name="区域2_3"/>
    <protectedRange sqref="N7:O8 N13:O13 N49:O49" name="区域1_4"/>
    <protectedRange sqref="N41:O41 N58:O58" name="区域2_4"/>
    <protectedRange sqref="Q7:R8 Q13:R13 Q49:R49" name="区域1_5"/>
    <protectedRange sqref="Q41:R41 Q58:R58" name="区域2_5"/>
    <protectedRange sqref="T7:U8 T13:U13 T49:U49" name="区域1_6"/>
    <protectedRange sqref="T41:U41 T58:U58" name="区域2_6"/>
  </protectedRanges>
  <mergeCells count="33">
    <mergeCell ref="A1:AC1"/>
    <mergeCell ref="B3:D3"/>
    <mergeCell ref="E3:G3"/>
    <mergeCell ref="H3:J3"/>
    <mergeCell ref="K3:M3"/>
    <mergeCell ref="N3:P3"/>
    <mergeCell ref="Q3:S3"/>
    <mergeCell ref="T3:V3"/>
    <mergeCell ref="W3:Y3"/>
    <mergeCell ref="Z3:AB3"/>
    <mergeCell ref="B5:D5"/>
    <mergeCell ref="E5:G5"/>
    <mergeCell ref="H5:J5"/>
    <mergeCell ref="K5:M5"/>
    <mergeCell ref="N5:P5"/>
    <mergeCell ref="Q5:S5"/>
    <mergeCell ref="T5:V5"/>
    <mergeCell ref="W5:Y5"/>
    <mergeCell ref="Z5:AB5"/>
    <mergeCell ref="B6:D6"/>
    <mergeCell ref="E6:G6"/>
    <mergeCell ref="H6:J6"/>
    <mergeCell ref="K6:M6"/>
    <mergeCell ref="N6:P6"/>
    <mergeCell ref="Q6:S6"/>
    <mergeCell ref="T6:V6"/>
    <mergeCell ref="W6:Y6"/>
    <mergeCell ref="Z6:AB6"/>
    <mergeCell ref="B67:H67"/>
    <mergeCell ref="B68:H68"/>
    <mergeCell ref="B69:H69"/>
    <mergeCell ref="A3:A4"/>
    <mergeCell ref="AC3:AC4"/>
  </mergeCells>
  <printOptions/>
  <pageMargins left="0.75" right="0.75" top="0.98" bottom="0.98" header="0.51" footer="0.51"/>
  <pageSetup fitToHeight="1" fitToWidth="1" orientation="landscape" paperSize="9" scale="26"/>
</worksheet>
</file>

<file path=xl/worksheets/sheet6.xml><?xml version="1.0" encoding="utf-8"?>
<worksheet xmlns="http://schemas.openxmlformats.org/spreadsheetml/2006/main" xmlns:r="http://schemas.openxmlformats.org/officeDocument/2006/relationships">
  <sheetPr>
    <pageSetUpPr fitToPage="1"/>
  </sheetPr>
  <dimension ref="A1:K28"/>
  <sheetViews>
    <sheetView workbookViewId="0" topLeftCell="A1">
      <selection activeCell="E3" sqref="E3:I3"/>
    </sheetView>
  </sheetViews>
  <sheetFormatPr defaultColWidth="9.140625" defaultRowHeight="12.75"/>
  <cols>
    <col min="1" max="1" width="22.57421875" style="0" customWidth="1"/>
    <col min="2" max="9" width="16.7109375" style="0" customWidth="1"/>
    <col min="10" max="11" width="14.00390625" style="0" customWidth="1"/>
  </cols>
  <sheetData>
    <row r="1" spans="1:11" ht="33" customHeight="1">
      <c r="A1" s="16" t="s">
        <v>426</v>
      </c>
      <c r="B1" s="16" t="s">
        <v>426</v>
      </c>
      <c r="C1" s="16" t="s">
        <v>426</v>
      </c>
      <c r="D1" s="16" t="s">
        <v>426</v>
      </c>
      <c r="E1" s="16" t="s">
        <v>426</v>
      </c>
      <c r="F1" s="16" t="s">
        <v>426</v>
      </c>
      <c r="G1" s="16" t="s">
        <v>426</v>
      </c>
      <c r="H1" s="16" t="s">
        <v>426</v>
      </c>
      <c r="I1" s="16" t="s">
        <v>426</v>
      </c>
      <c r="J1" s="16" t="s">
        <v>426</v>
      </c>
      <c r="K1" s="16" t="s">
        <v>426</v>
      </c>
    </row>
    <row r="2" spans="1:11" ht="18" customHeight="1">
      <c r="A2" s="4" t="s">
        <v>272</v>
      </c>
      <c r="B2" s="3"/>
      <c r="C2" s="3"/>
      <c r="D2" s="3"/>
      <c r="E2" s="98" t="s">
        <v>273</v>
      </c>
      <c r="F2" s="4"/>
      <c r="G2" s="4"/>
      <c r="H2" s="4"/>
      <c r="I2" s="4"/>
      <c r="J2" s="11" t="s">
        <v>1</v>
      </c>
      <c r="K2" s="4"/>
    </row>
    <row r="3" spans="1:11" ht="18" customHeight="1">
      <c r="A3" s="13" t="s">
        <v>276</v>
      </c>
      <c r="B3" s="6" t="s">
        <v>314</v>
      </c>
      <c r="C3" s="6" t="s">
        <v>314</v>
      </c>
      <c r="D3" s="6" t="s">
        <v>314</v>
      </c>
      <c r="E3" s="6" t="s">
        <v>278</v>
      </c>
      <c r="F3" s="6" t="s">
        <v>278</v>
      </c>
      <c r="G3" s="6" t="s">
        <v>278</v>
      </c>
      <c r="H3" s="6" t="s">
        <v>278</v>
      </c>
      <c r="I3" s="6" t="s">
        <v>278</v>
      </c>
      <c r="J3" s="6" t="s">
        <v>279</v>
      </c>
      <c r="K3" s="13" t="s">
        <v>36</v>
      </c>
    </row>
    <row r="4" spans="1:11" ht="18" customHeight="1">
      <c r="A4" s="13" t="s">
        <v>276</v>
      </c>
      <c r="B4" s="6" t="s">
        <v>280</v>
      </c>
      <c r="C4" s="6" t="s">
        <v>281</v>
      </c>
      <c r="D4" s="6" t="s">
        <v>427</v>
      </c>
      <c r="E4" s="6" t="s">
        <v>296</v>
      </c>
      <c r="F4" s="6" t="s">
        <v>306</v>
      </c>
      <c r="G4" s="6" t="s">
        <v>307</v>
      </c>
      <c r="H4" s="6" t="s">
        <v>308</v>
      </c>
      <c r="I4" s="6" t="s">
        <v>309</v>
      </c>
      <c r="J4" s="6" t="s">
        <v>279</v>
      </c>
      <c r="K4" s="13" t="s">
        <v>36</v>
      </c>
    </row>
    <row r="5" spans="1:11" ht="18" customHeight="1">
      <c r="A5" s="17" t="s">
        <v>428</v>
      </c>
      <c r="B5" s="8">
        <f aca="true" t="shared" si="0" ref="B5:I5">B6+B12</f>
        <v>0</v>
      </c>
      <c r="C5" s="8">
        <f t="shared" si="0"/>
        <v>0</v>
      </c>
      <c r="D5" s="8">
        <f t="shared" si="0"/>
        <v>0</v>
      </c>
      <c r="E5" s="8">
        <f t="shared" si="0"/>
        <v>0</v>
      </c>
      <c r="F5" s="8">
        <f t="shared" si="0"/>
        <v>0</v>
      </c>
      <c r="G5" s="8">
        <f t="shared" si="0"/>
        <v>0</v>
      </c>
      <c r="H5" s="8">
        <f t="shared" si="0"/>
        <v>0</v>
      </c>
      <c r="I5" s="8">
        <f t="shared" si="0"/>
        <v>0</v>
      </c>
      <c r="J5" s="14" t="e">
        <f>E5/D5</f>
        <v>#DIV/0!</v>
      </c>
      <c r="K5" s="4"/>
    </row>
    <row r="6" spans="1:11" ht="18" customHeight="1">
      <c r="A6" s="17" t="s">
        <v>429</v>
      </c>
      <c r="B6" s="8">
        <f aca="true" t="shared" si="1" ref="B6:I6">SUM(B7:B11)</f>
        <v>0</v>
      </c>
      <c r="C6" s="8">
        <f t="shared" si="1"/>
        <v>0</v>
      </c>
      <c r="D6" s="8">
        <f t="shared" si="1"/>
        <v>0</v>
      </c>
      <c r="E6" s="8">
        <f t="shared" si="1"/>
        <v>0</v>
      </c>
      <c r="F6" s="8">
        <f t="shared" si="1"/>
        <v>0</v>
      </c>
      <c r="G6" s="8">
        <f t="shared" si="1"/>
        <v>0</v>
      </c>
      <c r="H6" s="8">
        <f t="shared" si="1"/>
        <v>0</v>
      </c>
      <c r="I6" s="8">
        <f t="shared" si="1"/>
        <v>0</v>
      </c>
      <c r="J6" s="14" t="e">
        <f aca="true" t="shared" si="2" ref="J6:J19">E6/D6</f>
        <v>#DIV/0!</v>
      </c>
      <c r="K6" s="4"/>
    </row>
    <row r="7" spans="1:11" ht="18" customHeight="1">
      <c r="A7" s="17" t="s">
        <v>430</v>
      </c>
      <c r="B7" s="9"/>
      <c r="C7" s="57"/>
      <c r="D7" s="8">
        <f>C7+B7</f>
        <v>0</v>
      </c>
      <c r="E7" s="8">
        <f>SUM(F7:I7)</f>
        <v>0</v>
      </c>
      <c r="F7" s="10"/>
      <c r="G7" s="10"/>
      <c r="H7" s="10"/>
      <c r="I7" s="10"/>
      <c r="J7" s="14" t="e">
        <f t="shared" si="2"/>
        <v>#DIV/0!</v>
      </c>
      <c r="K7" s="4"/>
    </row>
    <row r="8" spans="1:11" ht="18" customHeight="1">
      <c r="A8" s="17" t="s">
        <v>431</v>
      </c>
      <c r="B8" s="9"/>
      <c r="C8" s="57"/>
      <c r="D8" s="8">
        <f>C8+B8</f>
        <v>0</v>
      </c>
      <c r="E8" s="8">
        <f>SUM(F8:I8)</f>
        <v>0</v>
      </c>
      <c r="F8" s="10"/>
      <c r="G8" s="10"/>
      <c r="H8" s="10"/>
      <c r="I8" s="10"/>
      <c r="J8" s="14" t="e">
        <f t="shared" si="2"/>
        <v>#DIV/0!</v>
      </c>
      <c r="K8" s="4"/>
    </row>
    <row r="9" spans="1:11" ht="18" customHeight="1">
      <c r="A9" s="17" t="s">
        <v>432</v>
      </c>
      <c r="B9" s="9"/>
      <c r="C9" s="57"/>
      <c r="D9" s="8">
        <f>C9+B9</f>
        <v>0</v>
      </c>
      <c r="E9" s="8">
        <f>SUM(F9:I9)</f>
        <v>0</v>
      </c>
      <c r="F9" s="10"/>
      <c r="G9" s="10"/>
      <c r="H9" s="10"/>
      <c r="I9" s="10"/>
      <c r="J9" s="14" t="e">
        <f t="shared" si="2"/>
        <v>#DIV/0!</v>
      </c>
      <c r="K9" s="4"/>
    </row>
    <row r="10" spans="1:11" ht="18" customHeight="1">
      <c r="A10" s="17" t="s">
        <v>433</v>
      </c>
      <c r="B10" s="9"/>
      <c r="C10" s="57"/>
      <c r="D10" s="8">
        <f>C10+B10</f>
        <v>0</v>
      </c>
      <c r="E10" s="8">
        <f>SUM(F10:I10)</f>
        <v>0</v>
      </c>
      <c r="F10" s="10"/>
      <c r="G10" s="10"/>
      <c r="H10" s="10"/>
      <c r="I10" s="10"/>
      <c r="J10" s="14" t="e">
        <f t="shared" si="2"/>
        <v>#DIV/0!</v>
      </c>
      <c r="K10" s="4"/>
    </row>
    <row r="11" spans="1:11" ht="18" customHeight="1">
      <c r="A11" s="17" t="s">
        <v>434</v>
      </c>
      <c r="B11" s="9"/>
      <c r="C11" s="57"/>
      <c r="D11" s="8">
        <f>C11+B11</f>
        <v>0</v>
      </c>
      <c r="E11" s="8">
        <f>SUM(F11:I11)</f>
        <v>0</v>
      </c>
      <c r="F11" s="10"/>
      <c r="G11" s="10"/>
      <c r="H11" s="10"/>
      <c r="I11" s="10"/>
      <c r="J11" s="14" t="e">
        <f t="shared" si="2"/>
        <v>#DIV/0!</v>
      </c>
      <c r="K11" s="4"/>
    </row>
    <row r="12" spans="1:11" ht="18" customHeight="1">
      <c r="A12" s="17" t="s">
        <v>435</v>
      </c>
      <c r="B12" s="8">
        <f aca="true" t="shared" si="3" ref="B12:I12">SUM(B13:B19)</f>
        <v>0</v>
      </c>
      <c r="C12" s="8">
        <f t="shared" si="3"/>
        <v>0</v>
      </c>
      <c r="D12" s="8">
        <f t="shared" si="3"/>
        <v>0</v>
      </c>
      <c r="E12" s="8">
        <f t="shared" si="3"/>
        <v>0</v>
      </c>
      <c r="F12" s="8">
        <f t="shared" si="3"/>
        <v>0</v>
      </c>
      <c r="G12" s="8">
        <f t="shared" si="3"/>
        <v>0</v>
      </c>
      <c r="H12" s="8">
        <f t="shared" si="3"/>
        <v>0</v>
      </c>
      <c r="I12" s="8">
        <f t="shared" si="3"/>
        <v>0</v>
      </c>
      <c r="J12" s="14" t="e">
        <f t="shared" si="2"/>
        <v>#DIV/0!</v>
      </c>
      <c r="K12" s="4"/>
    </row>
    <row r="13" spans="1:11" ht="18" customHeight="1">
      <c r="A13" s="17" t="s">
        <v>436</v>
      </c>
      <c r="B13" s="9"/>
      <c r="C13" s="57"/>
      <c r="D13" s="8">
        <f>B13+C13</f>
        <v>0</v>
      </c>
      <c r="E13" s="8">
        <f>SUM(F13:I13)</f>
        <v>0</v>
      </c>
      <c r="F13" s="10"/>
      <c r="G13" s="10"/>
      <c r="H13" s="10"/>
      <c r="I13" s="10"/>
      <c r="J13" s="14" t="e">
        <f t="shared" si="2"/>
        <v>#DIV/0!</v>
      </c>
      <c r="K13" s="4"/>
    </row>
    <row r="14" spans="1:11" ht="18" customHeight="1">
      <c r="A14" s="17" t="s">
        <v>437</v>
      </c>
      <c r="B14" s="9"/>
      <c r="C14" s="57"/>
      <c r="D14" s="8">
        <f aca="true" t="shared" si="4" ref="D14:D19">B14+C14</f>
        <v>0</v>
      </c>
      <c r="E14" s="8">
        <f aca="true" t="shared" si="5" ref="E14:E19">SUM(F14:I14)</f>
        <v>0</v>
      </c>
      <c r="F14" s="10"/>
      <c r="G14" s="10"/>
      <c r="H14" s="10"/>
      <c r="I14" s="10"/>
      <c r="J14" s="14" t="e">
        <f t="shared" si="2"/>
        <v>#DIV/0!</v>
      </c>
      <c r="K14" s="4"/>
    </row>
    <row r="15" spans="1:11" ht="18" customHeight="1">
      <c r="A15" s="17" t="s">
        <v>438</v>
      </c>
      <c r="B15" s="9"/>
      <c r="C15" s="57"/>
      <c r="D15" s="8">
        <f t="shared" si="4"/>
        <v>0</v>
      </c>
      <c r="E15" s="8">
        <f t="shared" si="5"/>
        <v>0</v>
      </c>
      <c r="F15" s="10"/>
      <c r="G15" s="10"/>
      <c r="H15" s="10"/>
      <c r="I15" s="10"/>
      <c r="J15" s="14" t="e">
        <f t="shared" si="2"/>
        <v>#DIV/0!</v>
      </c>
      <c r="K15" s="4"/>
    </row>
    <row r="16" spans="1:11" ht="18" customHeight="1">
      <c r="A16" s="17" t="s">
        <v>439</v>
      </c>
      <c r="B16" s="9"/>
      <c r="C16" s="57"/>
      <c r="D16" s="8">
        <f t="shared" si="4"/>
        <v>0</v>
      </c>
      <c r="E16" s="8">
        <f t="shared" si="5"/>
        <v>0</v>
      </c>
      <c r="F16" s="10"/>
      <c r="G16" s="10"/>
      <c r="H16" s="10"/>
      <c r="I16" s="10"/>
      <c r="J16" s="14" t="e">
        <f t="shared" si="2"/>
        <v>#DIV/0!</v>
      </c>
      <c r="K16" s="4"/>
    </row>
    <row r="17" spans="1:11" ht="18" customHeight="1">
      <c r="A17" s="17" t="s">
        <v>440</v>
      </c>
      <c r="B17" s="9"/>
      <c r="C17" s="57"/>
      <c r="D17" s="8">
        <f t="shared" si="4"/>
        <v>0</v>
      </c>
      <c r="E17" s="8">
        <f t="shared" si="5"/>
        <v>0</v>
      </c>
      <c r="F17" s="10"/>
      <c r="G17" s="10"/>
      <c r="H17" s="10"/>
      <c r="I17" s="10"/>
      <c r="J17" s="14" t="e">
        <f t="shared" si="2"/>
        <v>#DIV/0!</v>
      </c>
      <c r="K17" s="4"/>
    </row>
    <row r="18" spans="1:11" ht="18" customHeight="1">
      <c r="A18" s="17" t="s">
        <v>441</v>
      </c>
      <c r="B18" s="9"/>
      <c r="C18" s="57"/>
      <c r="D18" s="8">
        <f t="shared" si="4"/>
        <v>0</v>
      </c>
      <c r="E18" s="8">
        <f t="shared" si="5"/>
        <v>0</v>
      </c>
      <c r="F18" s="10"/>
      <c r="G18" s="10"/>
      <c r="H18" s="15"/>
      <c r="I18" s="10"/>
      <c r="J18" s="14" t="e">
        <f t="shared" si="2"/>
        <v>#DIV/0!</v>
      </c>
      <c r="K18" s="4" t="s">
        <v>442</v>
      </c>
    </row>
    <row r="19" spans="1:11" ht="18" customHeight="1">
      <c r="A19" s="17" t="s">
        <v>443</v>
      </c>
      <c r="B19" s="9"/>
      <c r="C19" s="57"/>
      <c r="D19" s="8">
        <f t="shared" si="4"/>
        <v>0</v>
      </c>
      <c r="E19" s="8">
        <f t="shared" si="5"/>
        <v>0</v>
      </c>
      <c r="F19" s="10"/>
      <c r="G19" s="10"/>
      <c r="H19" s="10"/>
      <c r="I19" s="10"/>
      <c r="J19" s="14" t="e">
        <f t="shared" si="2"/>
        <v>#DIV/0!</v>
      </c>
      <c r="K19" s="4"/>
    </row>
    <row r="20" spans="1:11" ht="18" customHeight="1">
      <c r="A20" s="4"/>
      <c r="B20" s="21" t="s">
        <v>310</v>
      </c>
      <c r="C20" s="4"/>
      <c r="D20" s="4"/>
      <c r="E20" s="4"/>
      <c r="F20" s="21" t="s">
        <v>328</v>
      </c>
      <c r="G20" s="4"/>
      <c r="H20" s="4"/>
      <c r="I20" s="4"/>
      <c r="J20" s="4"/>
      <c r="K20" s="4"/>
    </row>
    <row r="21" spans="1:11" ht="18" customHeight="1">
      <c r="A21" s="4" t="s">
        <v>424</v>
      </c>
      <c r="B21" s="11"/>
      <c r="C21" s="4"/>
      <c r="D21" s="4"/>
      <c r="E21" s="4"/>
      <c r="F21" s="11"/>
      <c r="G21" s="4"/>
      <c r="H21" s="4"/>
      <c r="I21" s="4"/>
      <c r="J21" s="4"/>
      <c r="K21" s="4"/>
    </row>
    <row r="22" spans="1:11" ht="18" customHeight="1">
      <c r="A22" s="4" t="s">
        <v>444</v>
      </c>
      <c r="B22" s="4" t="s">
        <v>444</v>
      </c>
      <c r="C22" s="4" t="s">
        <v>444</v>
      </c>
      <c r="D22" s="4" t="s">
        <v>444</v>
      </c>
      <c r="E22" s="4" t="s">
        <v>444</v>
      </c>
      <c r="F22" s="4" t="s">
        <v>444</v>
      </c>
      <c r="G22" s="4" t="s">
        <v>444</v>
      </c>
      <c r="H22" s="4" t="s">
        <v>444</v>
      </c>
      <c r="I22" s="4" t="s">
        <v>444</v>
      </c>
      <c r="J22" s="4" t="s">
        <v>444</v>
      </c>
      <c r="K22" s="4" t="s">
        <v>444</v>
      </c>
    </row>
    <row r="23" spans="1:11" ht="18" customHeight="1">
      <c r="A23" s="4" t="s">
        <v>445</v>
      </c>
      <c r="B23" s="4" t="s">
        <v>445</v>
      </c>
      <c r="C23" s="4" t="s">
        <v>445</v>
      </c>
      <c r="D23" s="4" t="s">
        <v>445</v>
      </c>
      <c r="E23" s="4" t="s">
        <v>445</v>
      </c>
      <c r="F23" s="4" t="s">
        <v>445</v>
      </c>
      <c r="G23" s="4" t="s">
        <v>445</v>
      </c>
      <c r="H23" s="4" t="s">
        <v>445</v>
      </c>
      <c r="I23" s="4" t="s">
        <v>445</v>
      </c>
      <c r="J23" s="4" t="s">
        <v>445</v>
      </c>
      <c r="K23" s="4" t="s">
        <v>445</v>
      </c>
    </row>
    <row r="24" spans="1:11" ht="18" customHeight="1">
      <c r="A24" s="4" t="s">
        <v>446</v>
      </c>
      <c r="B24" s="11"/>
      <c r="C24" s="4"/>
      <c r="D24" s="4"/>
      <c r="E24" s="4"/>
      <c r="F24" s="11"/>
      <c r="G24" s="4"/>
      <c r="H24" s="4"/>
      <c r="I24" s="4"/>
      <c r="J24" s="4"/>
      <c r="K24" s="4"/>
    </row>
    <row r="25" spans="1:11" ht="18" customHeight="1">
      <c r="A25" s="2"/>
      <c r="B25" s="2"/>
      <c r="C25" s="2"/>
      <c r="D25" s="2"/>
      <c r="E25" s="2"/>
      <c r="F25" s="2"/>
      <c r="G25" s="2"/>
      <c r="H25" s="2"/>
      <c r="I25" s="2"/>
      <c r="J25" s="2"/>
      <c r="K25" s="2"/>
    </row>
    <row r="26" spans="1:11" ht="18" customHeight="1">
      <c r="A26" s="2"/>
      <c r="B26" s="2"/>
      <c r="C26" s="2"/>
      <c r="D26" s="2"/>
      <c r="E26" s="2"/>
      <c r="F26" s="2"/>
      <c r="G26" s="2"/>
      <c r="H26" s="2"/>
      <c r="I26" s="2"/>
      <c r="J26" s="2"/>
      <c r="K26" s="2"/>
    </row>
    <row r="27" spans="1:11" ht="18" customHeight="1">
      <c r="A27" s="2"/>
      <c r="B27" s="2"/>
      <c r="C27" s="2"/>
      <c r="D27" s="2"/>
      <c r="E27" s="2"/>
      <c r="F27" s="2"/>
      <c r="G27" s="2"/>
      <c r="H27" s="2"/>
      <c r="I27" s="2"/>
      <c r="J27" s="2"/>
      <c r="K27" s="2"/>
    </row>
    <row r="28" spans="1:11" ht="18" customHeight="1">
      <c r="A28" s="2"/>
      <c r="B28" s="2"/>
      <c r="C28" s="2"/>
      <c r="D28" s="2"/>
      <c r="E28" s="2"/>
      <c r="F28" s="2"/>
      <c r="G28" s="2"/>
      <c r="H28" s="2"/>
      <c r="I28" s="2"/>
      <c r="J28" s="2"/>
      <c r="K28" s="2"/>
    </row>
  </sheetData>
  <sheetProtection/>
  <mergeCells count="13">
    <mergeCell ref="A1:K1"/>
    <mergeCell ref="B2:D2"/>
    <mergeCell ref="B3:D3"/>
    <mergeCell ref="E3:I3"/>
    <mergeCell ref="A22:K22"/>
    <mergeCell ref="A23:K23"/>
    <mergeCell ref="A25:K25"/>
    <mergeCell ref="A26:K26"/>
    <mergeCell ref="A27:K27"/>
    <mergeCell ref="A28:K28"/>
    <mergeCell ref="A3:A4"/>
    <mergeCell ref="J3:J4"/>
    <mergeCell ref="K3:K4"/>
  </mergeCells>
  <printOptions/>
  <pageMargins left="0.75" right="0.75" top="0.98" bottom="0.98" header="0.51" footer="0.51"/>
  <pageSetup fitToHeight="1" fitToWidth="1" horizontalDpi="300" verticalDpi="300" orientation="landscape" paperSize="9" scale="89"/>
  <legacyDrawing r:id="rId2"/>
</worksheet>
</file>

<file path=xl/worksheets/sheet7.xml><?xml version="1.0" encoding="utf-8"?>
<worksheet xmlns="http://schemas.openxmlformats.org/spreadsheetml/2006/main" xmlns:r="http://schemas.openxmlformats.org/officeDocument/2006/relationships">
  <sheetPr>
    <tabColor rgb="FFFFFF00"/>
  </sheetPr>
  <dimension ref="A1:N27"/>
  <sheetViews>
    <sheetView workbookViewId="0" topLeftCell="A1">
      <selection activeCell="E3" sqref="E3:I3"/>
    </sheetView>
  </sheetViews>
  <sheetFormatPr defaultColWidth="9.140625" defaultRowHeight="12.75"/>
  <cols>
    <col min="1" max="1" width="26.140625" style="0" customWidth="1"/>
    <col min="2" max="9" width="16.7109375" style="0" customWidth="1"/>
    <col min="10" max="10" width="14.00390625" style="0" customWidth="1"/>
    <col min="11" max="11" width="20.57421875" style="0" customWidth="1"/>
    <col min="12" max="12" width="20.140625" style="0" customWidth="1"/>
    <col min="13" max="13" width="14.00390625" style="0" customWidth="1"/>
    <col min="14" max="14" width="16.140625" style="0" customWidth="1"/>
  </cols>
  <sheetData>
    <row r="1" spans="1:14" ht="35.25" customHeight="1">
      <c r="A1" s="16" t="s">
        <v>447</v>
      </c>
      <c r="B1" s="16" t="s">
        <v>447</v>
      </c>
      <c r="C1" s="16" t="s">
        <v>447</v>
      </c>
      <c r="D1" s="16" t="s">
        <v>447</v>
      </c>
      <c r="E1" s="16" t="s">
        <v>447</v>
      </c>
      <c r="F1" s="16" t="s">
        <v>447</v>
      </c>
      <c r="G1" s="16" t="s">
        <v>447</v>
      </c>
      <c r="H1" s="16" t="s">
        <v>447</v>
      </c>
      <c r="I1" s="16" t="s">
        <v>447</v>
      </c>
      <c r="J1" s="16" t="s">
        <v>447</v>
      </c>
      <c r="K1" s="16" t="s">
        <v>447</v>
      </c>
      <c r="L1" s="16" t="s">
        <v>447</v>
      </c>
      <c r="M1" s="16" t="s">
        <v>447</v>
      </c>
      <c r="N1" s="16" t="s">
        <v>447</v>
      </c>
    </row>
    <row r="2" spans="1:14" ht="18" customHeight="1">
      <c r="A2" s="4" t="s">
        <v>272</v>
      </c>
      <c r="B2" s="3"/>
      <c r="C2" s="3"/>
      <c r="D2" s="3"/>
      <c r="E2" s="98" t="s">
        <v>273</v>
      </c>
      <c r="F2" s="4"/>
      <c r="G2" s="4"/>
      <c r="H2" s="4"/>
      <c r="I2" s="4"/>
      <c r="J2" s="4" t="s">
        <v>1</v>
      </c>
      <c r="K2" s="4"/>
      <c r="L2" s="4"/>
      <c r="M2" s="4"/>
      <c r="N2" s="4"/>
    </row>
    <row r="3" spans="1:14" ht="18" customHeight="1">
      <c r="A3" s="13" t="s">
        <v>448</v>
      </c>
      <c r="B3" s="6" t="s">
        <v>314</v>
      </c>
      <c r="C3" s="6" t="s">
        <v>314</v>
      </c>
      <c r="D3" s="6" t="s">
        <v>314</v>
      </c>
      <c r="E3" s="6" t="s">
        <v>278</v>
      </c>
      <c r="F3" s="6" t="s">
        <v>278</v>
      </c>
      <c r="G3" s="6" t="s">
        <v>278</v>
      </c>
      <c r="H3" s="6" t="s">
        <v>278</v>
      </c>
      <c r="I3" s="6" t="s">
        <v>278</v>
      </c>
      <c r="J3" s="6" t="s">
        <v>279</v>
      </c>
      <c r="K3" s="13" t="s">
        <v>36</v>
      </c>
      <c r="L3" s="13" t="s">
        <v>36</v>
      </c>
      <c r="M3" s="13" t="s">
        <v>36</v>
      </c>
      <c r="N3" s="13" t="s">
        <v>36</v>
      </c>
    </row>
    <row r="4" spans="1:14" ht="18" customHeight="1">
      <c r="A4" s="13" t="s">
        <v>448</v>
      </c>
      <c r="B4" s="6" t="s">
        <v>280</v>
      </c>
      <c r="C4" s="6" t="s">
        <v>281</v>
      </c>
      <c r="D4" s="6" t="s">
        <v>427</v>
      </c>
      <c r="E4" s="6" t="s">
        <v>296</v>
      </c>
      <c r="F4" s="6" t="s">
        <v>306</v>
      </c>
      <c r="G4" s="6" t="s">
        <v>307</v>
      </c>
      <c r="H4" s="6" t="s">
        <v>308</v>
      </c>
      <c r="I4" s="6" t="s">
        <v>309</v>
      </c>
      <c r="J4" s="6" t="s">
        <v>279</v>
      </c>
      <c r="K4" s="13" t="s">
        <v>449</v>
      </c>
      <c r="L4" s="13" t="s">
        <v>450</v>
      </c>
      <c r="M4" s="13" t="s">
        <v>451</v>
      </c>
      <c r="N4" s="13" t="s">
        <v>452</v>
      </c>
    </row>
    <row r="5" spans="1:14" ht="18" customHeight="1">
      <c r="A5" s="17" t="s">
        <v>453</v>
      </c>
      <c r="B5" s="8">
        <f aca="true" t="shared" si="0" ref="B5:I5">B6+B11</f>
        <v>0</v>
      </c>
      <c r="C5" s="8">
        <f t="shared" si="0"/>
        <v>0</v>
      </c>
      <c r="D5" s="8">
        <f t="shared" si="0"/>
        <v>0</v>
      </c>
      <c r="E5" s="8">
        <f t="shared" si="0"/>
        <v>0</v>
      </c>
      <c r="F5" s="8">
        <f t="shared" si="0"/>
        <v>0</v>
      </c>
      <c r="G5" s="8">
        <f t="shared" si="0"/>
        <v>0</v>
      </c>
      <c r="H5" s="8">
        <f t="shared" si="0"/>
        <v>0</v>
      </c>
      <c r="I5" s="8">
        <f t="shared" si="0"/>
        <v>0</v>
      </c>
      <c r="J5" s="14" t="e">
        <f>E5/D5</f>
        <v>#DIV/0!</v>
      </c>
      <c r="K5" s="4"/>
      <c r="L5" s="4"/>
      <c r="M5" s="4"/>
      <c r="N5" s="4"/>
    </row>
    <row r="6" spans="1:14" ht="18" customHeight="1">
      <c r="A6" s="17" t="s">
        <v>454</v>
      </c>
      <c r="B6" s="8">
        <f aca="true" t="shared" si="1" ref="B6:I6">SUM(B7:B10)</f>
        <v>0</v>
      </c>
      <c r="C6" s="8">
        <f t="shared" si="1"/>
        <v>0</v>
      </c>
      <c r="D6" s="8">
        <f t="shared" si="1"/>
        <v>0</v>
      </c>
      <c r="E6" s="8">
        <f t="shared" si="1"/>
        <v>0</v>
      </c>
      <c r="F6" s="8">
        <f t="shared" si="1"/>
        <v>0</v>
      </c>
      <c r="G6" s="8">
        <f t="shared" si="1"/>
        <v>0</v>
      </c>
      <c r="H6" s="8">
        <f t="shared" si="1"/>
        <v>0</v>
      </c>
      <c r="I6" s="8">
        <f t="shared" si="1"/>
        <v>0</v>
      </c>
      <c r="J6" s="14" t="e">
        <f aca="true" t="shared" si="2" ref="J6:J15">E6/D6</f>
        <v>#DIV/0!</v>
      </c>
      <c r="K6" s="4"/>
      <c r="L6" s="4"/>
      <c r="M6" s="4"/>
      <c r="N6" s="4"/>
    </row>
    <row r="7" spans="1:14" ht="18" customHeight="1">
      <c r="A7" s="17" t="s">
        <v>455</v>
      </c>
      <c r="B7" s="10"/>
      <c r="C7" s="10"/>
      <c r="D7" s="8">
        <f>B7+C7</f>
        <v>0</v>
      </c>
      <c r="E7" s="8">
        <f>SUM(F7:I7)</f>
        <v>0</v>
      </c>
      <c r="F7" s="10"/>
      <c r="G7" s="10"/>
      <c r="H7" s="10"/>
      <c r="I7" s="10"/>
      <c r="J7" s="14" t="e">
        <f t="shared" si="2"/>
        <v>#DIV/0!</v>
      </c>
      <c r="K7" s="4"/>
      <c r="L7" s="4"/>
      <c r="M7" s="4"/>
      <c r="N7" s="4"/>
    </row>
    <row r="8" spans="1:14" ht="18" customHeight="1">
      <c r="A8" s="17" t="s">
        <v>456</v>
      </c>
      <c r="B8" s="10"/>
      <c r="C8" s="10"/>
      <c r="D8" s="8">
        <f>B8+C8</f>
        <v>0</v>
      </c>
      <c r="E8" s="8">
        <f>SUM(F8:I8)</f>
        <v>0</v>
      </c>
      <c r="F8" s="10"/>
      <c r="G8" s="10"/>
      <c r="H8" s="10"/>
      <c r="I8" s="10"/>
      <c r="J8" s="14" t="e">
        <f t="shared" si="2"/>
        <v>#DIV/0!</v>
      </c>
      <c r="K8" s="4"/>
      <c r="L8" s="4"/>
      <c r="M8" s="4"/>
      <c r="N8" s="4"/>
    </row>
    <row r="9" spans="1:14" ht="18" customHeight="1">
      <c r="A9" s="17" t="s">
        <v>457</v>
      </c>
      <c r="B9" s="10"/>
      <c r="C9" s="10"/>
      <c r="D9" s="8">
        <f>B9+C9</f>
        <v>0</v>
      </c>
      <c r="E9" s="8">
        <f>SUM(F9:I9)</f>
        <v>0</v>
      </c>
      <c r="F9" s="10"/>
      <c r="G9" s="10"/>
      <c r="H9" s="10"/>
      <c r="I9" s="10"/>
      <c r="J9" s="14" t="e">
        <f t="shared" si="2"/>
        <v>#DIV/0!</v>
      </c>
      <c r="K9" s="4"/>
      <c r="L9" s="4"/>
      <c r="M9" s="4"/>
      <c r="N9" s="4"/>
    </row>
    <row r="10" spans="1:14" ht="18" customHeight="1">
      <c r="A10" s="17" t="s">
        <v>458</v>
      </c>
      <c r="B10" s="10"/>
      <c r="C10" s="10"/>
      <c r="D10" s="8">
        <f>B10+C10</f>
        <v>0</v>
      </c>
      <c r="E10" s="8">
        <f>SUM(F10:I10)</f>
        <v>0</v>
      </c>
      <c r="F10" s="10"/>
      <c r="G10" s="10"/>
      <c r="H10" s="10"/>
      <c r="I10" s="10"/>
      <c r="J10" s="14" t="e">
        <f t="shared" si="2"/>
        <v>#DIV/0!</v>
      </c>
      <c r="K10" s="4"/>
      <c r="L10" s="4"/>
      <c r="M10" s="4"/>
      <c r="N10" s="4"/>
    </row>
    <row r="11" spans="1:14" ht="18" customHeight="1">
      <c r="A11" s="17" t="s">
        <v>459</v>
      </c>
      <c r="B11" s="8">
        <f aca="true" t="shared" si="3" ref="B11:I11">SUM(B12:B15)</f>
        <v>0</v>
      </c>
      <c r="C11" s="8">
        <f t="shared" si="3"/>
        <v>0</v>
      </c>
      <c r="D11" s="8">
        <f t="shared" si="3"/>
        <v>0</v>
      </c>
      <c r="E11" s="8">
        <f t="shared" si="3"/>
        <v>0</v>
      </c>
      <c r="F11" s="8">
        <f t="shared" si="3"/>
        <v>0</v>
      </c>
      <c r="G11" s="8">
        <f t="shared" si="3"/>
        <v>0</v>
      </c>
      <c r="H11" s="8">
        <f t="shared" si="3"/>
        <v>0</v>
      </c>
      <c r="I11" s="8">
        <f t="shared" si="3"/>
        <v>0</v>
      </c>
      <c r="J11" s="14" t="e">
        <f t="shared" si="2"/>
        <v>#DIV/0!</v>
      </c>
      <c r="K11" s="4"/>
      <c r="L11" s="4"/>
      <c r="M11" s="4"/>
      <c r="N11" s="4"/>
    </row>
    <row r="12" spans="1:14" ht="18" customHeight="1">
      <c r="A12" s="17" t="s">
        <v>460</v>
      </c>
      <c r="B12" s="10"/>
      <c r="C12" s="10"/>
      <c r="D12" s="8">
        <f>B12+C12</f>
        <v>0</v>
      </c>
      <c r="E12" s="8">
        <f>SUM(F12:I12)</f>
        <v>0</v>
      </c>
      <c r="F12" s="10"/>
      <c r="G12" s="10"/>
      <c r="H12" s="10"/>
      <c r="I12" s="10"/>
      <c r="J12" s="14" t="e">
        <f t="shared" si="2"/>
        <v>#DIV/0!</v>
      </c>
      <c r="K12" s="4"/>
      <c r="L12" s="4"/>
      <c r="M12" s="4"/>
      <c r="N12" s="4"/>
    </row>
    <row r="13" spans="1:14" ht="18" customHeight="1">
      <c r="A13" s="17" t="s">
        <v>461</v>
      </c>
      <c r="B13" s="10"/>
      <c r="C13" s="10"/>
      <c r="D13" s="8">
        <f>B13+C13</f>
        <v>0</v>
      </c>
      <c r="E13" s="8">
        <f>SUM(F13:I13)</f>
        <v>0</v>
      </c>
      <c r="F13" s="10"/>
      <c r="G13" s="10"/>
      <c r="H13" s="10"/>
      <c r="I13" s="10"/>
      <c r="J13" s="14" t="e">
        <f t="shared" si="2"/>
        <v>#DIV/0!</v>
      </c>
      <c r="K13" s="4"/>
      <c r="L13" s="4"/>
      <c r="M13" s="4"/>
      <c r="N13" s="4"/>
    </row>
    <row r="14" spans="1:14" ht="18" customHeight="1">
      <c r="A14" s="17" t="s">
        <v>462</v>
      </c>
      <c r="B14" s="10"/>
      <c r="C14" s="10"/>
      <c r="D14" s="8">
        <f>B14+C14</f>
        <v>0</v>
      </c>
      <c r="E14" s="8">
        <f>SUM(F14:I14)</f>
        <v>0</v>
      </c>
      <c r="F14" s="10"/>
      <c r="G14" s="10"/>
      <c r="H14" s="10"/>
      <c r="I14" s="10"/>
      <c r="J14" s="14" t="e">
        <f t="shared" si="2"/>
        <v>#DIV/0!</v>
      </c>
      <c r="K14" s="4"/>
      <c r="L14" s="4"/>
      <c r="M14" s="4"/>
      <c r="N14" s="4"/>
    </row>
    <row r="15" spans="1:14" ht="18" customHeight="1">
      <c r="A15" s="17" t="s">
        <v>463</v>
      </c>
      <c r="B15" s="10"/>
      <c r="C15" s="10"/>
      <c r="D15" s="8">
        <f>B15+C15</f>
        <v>0</v>
      </c>
      <c r="E15" s="8">
        <f>SUM(F15:I15)</f>
        <v>0</v>
      </c>
      <c r="F15" s="10"/>
      <c r="G15" s="10"/>
      <c r="H15" s="10"/>
      <c r="I15" s="10"/>
      <c r="J15" s="14" t="e">
        <f t="shared" si="2"/>
        <v>#DIV/0!</v>
      </c>
      <c r="K15" s="4"/>
      <c r="L15" s="4"/>
      <c r="M15" s="4"/>
      <c r="N15" s="4"/>
    </row>
    <row r="16" spans="1:14" ht="18" customHeight="1">
      <c r="A16" s="4"/>
      <c r="B16" s="11"/>
      <c r="C16" s="12" t="s">
        <v>310</v>
      </c>
      <c r="D16" s="4"/>
      <c r="E16" s="4"/>
      <c r="F16" s="11"/>
      <c r="G16" s="12" t="s">
        <v>328</v>
      </c>
      <c r="H16" s="4"/>
      <c r="I16" s="4"/>
      <c r="J16" s="4"/>
      <c r="K16" s="4"/>
      <c r="L16" s="4"/>
      <c r="M16" s="4"/>
      <c r="N16" s="4"/>
    </row>
    <row r="17" spans="1:14" ht="18" customHeight="1">
      <c r="A17" s="4" t="s">
        <v>424</v>
      </c>
      <c r="B17" s="11"/>
      <c r="C17" s="4"/>
      <c r="D17" s="4"/>
      <c r="E17" s="4"/>
      <c r="F17" s="11"/>
      <c r="G17" s="4"/>
      <c r="H17" s="4"/>
      <c r="I17" s="4"/>
      <c r="J17" s="4"/>
      <c r="K17" s="4"/>
      <c r="L17" s="4"/>
      <c r="M17" s="4"/>
      <c r="N17" s="4"/>
    </row>
    <row r="18" spans="1:14" ht="18" customHeight="1">
      <c r="A18" s="4" t="s">
        <v>464</v>
      </c>
      <c r="B18" s="4" t="s">
        <v>464</v>
      </c>
      <c r="C18" s="4" t="s">
        <v>464</v>
      </c>
      <c r="D18" s="4" t="s">
        <v>464</v>
      </c>
      <c r="E18" s="4" t="s">
        <v>464</v>
      </c>
      <c r="F18" s="4" t="s">
        <v>464</v>
      </c>
      <c r="G18" s="4" t="s">
        <v>464</v>
      </c>
      <c r="H18" s="4" t="s">
        <v>464</v>
      </c>
      <c r="I18" s="4" t="s">
        <v>464</v>
      </c>
      <c r="J18" s="4" t="s">
        <v>464</v>
      </c>
      <c r="K18" s="4" t="s">
        <v>464</v>
      </c>
      <c r="L18" s="4" t="s">
        <v>464</v>
      </c>
      <c r="M18" s="4" t="s">
        <v>464</v>
      </c>
      <c r="N18" s="4"/>
    </row>
    <row r="19" spans="1:14" ht="18" customHeight="1">
      <c r="A19" s="4" t="s">
        <v>465</v>
      </c>
      <c r="B19" s="4" t="s">
        <v>465</v>
      </c>
      <c r="C19" s="4" t="s">
        <v>465</v>
      </c>
      <c r="D19" s="4" t="s">
        <v>465</v>
      </c>
      <c r="E19" s="4" t="s">
        <v>465</v>
      </c>
      <c r="F19" s="4" t="s">
        <v>465</v>
      </c>
      <c r="G19" s="4" t="s">
        <v>465</v>
      </c>
      <c r="H19" s="4" t="s">
        <v>465</v>
      </c>
      <c r="I19" s="4" t="s">
        <v>465</v>
      </c>
      <c r="J19" s="4" t="s">
        <v>465</v>
      </c>
      <c r="K19" s="4" t="s">
        <v>465</v>
      </c>
      <c r="L19" s="4" t="s">
        <v>465</v>
      </c>
      <c r="M19" s="4" t="s">
        <v>465</v>
      </c>
      <c r="N19" s="4"/>
    </row>
    <row r="20" spans="1:14" ht="18" customHeight="1">
      <c r="A20" s="4" t="s">
        <v>466</v>
      </c>
      <c r="B20" s="4" t="s">
        <v>466</v>
      </c>
      <c r="C20" s="4" t="s">
        <v>466</v>
      </c>
      <c r="D20" s="4" t="s">
        <v>466</v>
      </c>
      <c r="E20" s="4" t="s">
        <v>466</v>
      </c>
      <c r="F20" s="4" t="s">
        <v>466</v>
      </c>
      <c r="G20" s="4" t="s">
        <v>466</v>
      </c>
      <c r="H20" s="4" t="s">
        <v>466</v>
      </c>
      <c r="I20" s="4" t="s">
        <v>466</v>
      </c>
      <c r="J20" s="4" t="s">
        <v>466</v>
      </c>
      <c r="K20" s="4" t="s">
        <v>466</v>
      </c>
      <c r="L20" s="4" t="s">
        <v>466</v>
      </c>
      <c r="M20" s="4" t="s">
        <v>466</v>
      </c>
      <c r="N20" s="4"/>
    </row>
    <row r="21" spans="1:14" ht="18" customHeight="1">
      <c r="A21" s="4"/>
      <c r="B21" s="11"/>
      <c r="C21" s="4"/>
      <c r="D21" s="4"/>
      <c r="E21" s="4"/>
      <c r="F21" s="11"/>
      <c r="G21" s="4"/>
      <c r="H21" s="4"/>
      <c r="I21" s="4"/>
      <c r="J21" s="4"/>
      <c r="K21" s="4"/>
      <c r="L21" s="4"/>
      <c r="M21" s="4"/>
      <c r="N21" s="4"/>
    </row>
    <row r="22" spans="1:14" ht="18" customHeight="1">
      <c r="A22" s="4" t="s">
        <v>446</v>
      </c>
      <c r="B22" s="11"/>
      <c r="C22" s="4"/>
      <c r="D22" s="4"/>
      <c r="E22" s="4"/>
      <c r="F22" s="11"/>
      <c r="G22" s="4"/>
      <c r="H22" s="4"/>
      <c r="I22" s="4"/>
      <c r="J22" s="4"/>
      <c r="K22" s="4"/>
      <c r="L22" s="4"/>
      <c r="M22" s="4"/>
      <c r="N22" s="4"/>
    </row>
    <row r="23" spans="1:14" ht="18" customHeight="1">
      <c r="A23" s="2"/>
      <c r="B23" s="2"/>
      <c r="C23" s="2"/>
      <c r="D23" s="2"/>
      <c r="E23" s="2"/>
      <c r="F23" s="2"/>
      <c r="G23" s="2"/>
      <c r="H23" s="2"/>
      <c r="I23" s="2"/>
      <c r="J23" s="2"/>
      <c r="K23" s="2"/>
      <c r="L23" s="2"/>
      <c r="M23" s="2"/>
      <c r="N23" s="2"/>
    </row>
    <row r="24" spans="1:14" ht="18" customHeight="1">
      <c r="A24" s="2"/>
      <c r="B24" s="2"/>
      <c r="C24" s="2"/>
      <c r="D24" s="2"/>
      <c r="E24" s="2"/>
      <c r="F24" s="2"/>
      <c r="G24" s="2"/>
      <c r="H24" s="2"/>
      <c r="I24" s="2"/>
      <c r="J24" s="2"/>
      <c r="K24" s="2"/>
      <c r="L24" s="2"/>
      <c r="M24" s="2"/>
      <c r="N24" s="2"/>
    </row>
    <row r="25" spans="1:14" ht="18" customHeight="1">
      <c r="A25" s="2"/>
      <c r="B25" s="2"/>
      <c r="C25" s="2"/>
      <c r="D25" s="2"/>
      <c r="E25" s="2"/>
      <c r="F25" s="2"/>
      <c r="G25" s="2"/>
      <c r="H25" s="2"/>
      <c r="I25" s="2"/>
      <c r="J25" s="2"/>
      <c r="K25" s="2"/>
      <c r="L25" s="2"/>
      <c r="M25" s="2"/>
      <c r="N25" s="2"/>
    </row>
    <row r="26" spans="1:14" ht="18" customHeight="1">
      <c r="A26" s="2"/>
      <c r="B26" s="2"/>
      <c r="C26" s="2"/>
      <c r="D26" s="2"/>
      <c r="E26" s="2"/>
      <c r="F26" s="2"/>
      <c r="G26" s="2"/>
      <c r="H26" s="2"/>
      <c r="I26" s="2"/>
      <c r="J26" s="2"/>
      <c r="K26" s="2"/>
      <c r="L26" s="2"/>
      <c r="M26" s="2"/>
      <c r="N26" s="2"/>
    </row>
    <row r="27" spans="1:14" ht="18" customHeight="1">
      <c r="A27" s="2"/>
      <c r="B27" s="2"/>
      <c r="C27" s="2"/>
      <c r="D27" s="2"/>
      <c r="E27" s="2"/>
      <c r="F27" s="2"/>
      <c r="G27" s="2"/>
      <c r="H27" s="2"/>
      <c r="I27" s="2"/>
      <c r="J27" s="2"/>
      <c r="K27" s="2"/>
      <c r="L27" s="2"/>
      <c r="M27" s="2"/>
      <c r="N27" s="2"/>
    </row>
  </sheetData>
  <sheetProtection/>
  <mergeCells count="15">
    <mergeCell ref="A1:N1"/>
    <mergeCell ref="B2:D2"/>
    <mergeCell ref="B3:D3"/>
    <mergeCell ref="E3:I3"/>
    <mergeCell ref="K3:N3"/>
    <mergeCell ref="A18:M18"/>
    <mergeCell ref="A19:M19"/>
    <mergeCell ref="A20:M20"/>
    <mergeCell ref="A23:N23"/>
    <mergeCell ref="A24:N24"/>
    <mergeCell ref="A25:N25"/>
    <mergeCell ref="A26:N26"/>
    <mergeCell ref="A27:N27"/>
    <mergeCell ref="A3:A4"/>
    <mergeCell ref="J3:J4"/>
  </mergeCells>
  <printOptions/>
  <pageMargins left="0.75" right="0.75" top="1" bottom="1" header="0.5" footer="0.5"/>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sheetPr>
    <tabColor rgb="FFFFFF00"/>
  </sheetPr>
  <dimension ref="A1:L29"/>
  <sheetViews>
    <sheetView workbookViewId="0" topLeftCell="A1">
      <selection activeCell="C3" sqref="C3:C4"/>
    </sheetView>
  </sheetViews>
  <sheetFormatPr defaultColWidth="9.140625" defaultRowHeight="12.75"/>
  <cols>
    <col min="1" max="1" width="11.57421875" style="0" customWidth="1"/>
    <col min="2" max="2" width="49.7109375" style="0" customWidth="1"/>
    <col min="3" max="3" width="17.28125" style="0" customWidth="1"/>
    <col min="4" max="6" width="16.7109375" style="0" customWidth="1"/>
    <col min="7" max="11" width="16.28125" style="0" customWidth="1"/>
    <col min="12" max="12" width="17.28125" style="0" customWidth="1"/>
  </cols>
  <sheetData>
    <row r="1" spans="1:12" ht="40.5" customHeight="1">
      <c r="A1" s="16"/>
      <c r="B1" s="16" t="s">
        <v>467</v>
      </c>
      <c r="C1" s="16" t="s">
        <v>467</v>
      </c>
      <c r="D1" s="16" t="s">
        <v>467</v>
      </c>
      <c r="E1" s="16" t="s">
        <v>467</v>
      </c>
      <c r="F1" s="16" t="s">
        <v>467</v>
      </c>
      <c r="G1" s="16" t="s">
        <v>467</v>
      </c>
      <c r="H1" s="16" t="s">
        <v>467</v>
      </c>
      <c r="I1" s="16" t="s">
        <v>467</v>
      </c>
      <c r="J1" s="16" t="s">
        <v>467</v>
      </c>
      <c r="K1" s="16" t="s">
        <v>467</v>
      </c>
      <c r="L1" s="16" t="s">
        <v>467</v>
      </c>
    </row>
    <row r="2" spans="1:12" ht="18" customHeight="1">
      <c r="A2" s="4" t="s">
        <v>272</v>
      </c>
      <c r="B2" s="12"/>
      <c r="C2" s="21" t="s">
        <v>273</v>
      </c>
      <c r="D2" s="4"/>
      <c r="E2" s="4"/>
      <c r="F2" s="4"/>
      <c r="G2" s="11"/>
      <c r="H2" s="11"/>
      <c r="I2" s="11"/>
      <c r="J2" s="11"/>
      <c r="K2" s="11" t="s">
        <v>1</v>
      </c>
      <c r="L2" s="4"/>
    </row>
    <row r="3" spans="1:12" ht="18" customHeight="1">
      <c r="A3" s="6" t="s">
        <v>2</v>
      </c>
      <c r="B3" s="6" t="s">
        <v>468</v>
      </c>
      <c r="C3" s="6" t="s">
        <v>469</v>
      </c>
      <c r="D3" s="6" t="s">
        <v>470</v>
      </c>
      <c r="E3" s="6" t="s">
        <v>471</v>
      </c>
      <c r="F3" s="6" t="s">
        <v>335</v>
      </c>
      <c r="G3" s="6" t="s">
        <v>278</v>
      </c>
      <c r="H3" s="6" t="s">
        <v>278</v>
      </c>
      <c r="I3" s="6" t="s">
        <v>278</v>
      </c>
      <c r="J3" s="6" t="s">
        <v>278</v>
      </c>
      <c r="K3" s="6" t="s">
        <v>278</v>
      </c>
      <c r="L3" s="6" t="s">
        <v>36</v>
      </c>
    </row>
    <row r="4" spans="1:12" ht="18" customHeight="1">
      <c r="A4" s="6" t="s">
        <v>2</v>
      </c>
      <c r="B4" s="6" t="s">
        <v>468</v>
      </c>
      <c r="C4" s="6" t="s">
        <v>469</v>
      </c>
      <c r="D4" s="6" t="s">
        <v>470</v>
      </c>
      <c r="E4" s="6" t="s">
        <v>471</v>
      </c>
      <c r="F4" s="6" t="s">
        <v>335</v>
      </c>
      <c r="G4" s="6" t="s">
        <v>296</v>
      </c>
      <c r="H4" s="76" t="s">
        <v>306</v>
      </c>
      <c r="I4" s="76" t="s">
        <v>307</v>
      </c>
      <c r="J4" s="76" t="s">
        <v>308</v>
      </c>
      <c r="K4" s="76" t="s">
        <v>309</v>
      </c>
      <c r="L4" s="4"/>
    </row>
    <row r="5" spans="1:12" ht="18" customHeight="1">
      <c r="A5" s="6" t="s">
        <v>2</v>
      </c>
      <c r="B5" s="13" t="s">
        <v>472</v>
      </c>
      <c r="C5" s="13" t="s">
        <v>473</v>
      </c>
      <c r="D5" s="13" t="s">
        <v>473</v>
      </c>
      <c r="E5" s="8">
        <f aca="true" t="shared" si="0" ref="E5:K5">SUM(E6:E19)</f>
        <v>0</v>
      </c>
      <c r="F5" s="8">
        <f t="shared" si="0"/>
        <v>0</v>
      </c>
      <c r="G5" s="8">
        <f t="shared" si="0"/>
        <v>0</v>
      </c>
      <c r="H5" s="8">
        <f t="shared" si="0"/>
        <v>0</v>
      </c>
      <c r="I5" s="8">
        <f t="shared" si="0"/>
        <v>0</v>
      </c>
      <c r="J5" s="8">
        <f t="shared" si="0"/>
        <v>0</v>
      </c>
      <c r="K5" s="8">
        <f t="shared" si="0"/>
        <v>0</v>
      </c>
      <c r="L5" s="4"/>
    </row>
    <row r="6" spans="1:12" ht="18" customHeight="1">
      <c r="A6" s="6" t="s">
        <v>474</v>
      </c>
      <c r="B6" s="4"/>
      <c r="C6" s="4"/>
      <c r="D6" s="4"/>
      <c r="E6" s="10"/>
      <c r="F6" s="10"/>
      <c r="G6" s="8">
        <f>SUM(H6:K6)</f>
        <v>0</v>
      </c>
      <c r="H6" s="10"/>
      <c r="I6" s="10"/>
      <c r="J6" s="10"/>
      <c r="K6" s="10"/>
      <c r="L6" s="4"/>
    </row>
    <row r="7" spans="1:12" ht="18" customHeight="1">
      <c r="A7" s="6" t="s">
        <v>475</v>
      </c>
      <c r="B7" s="4"/>
      <c r="C7" s="4"/>
      <c r="D7" s="4"/>
      <c r="E7" s="10"/>
      <c r="F7" s="10"/>
      <c r="G7" s="8">
        <f aca="true" t="shared" si="1" ref="G7:G19">SUM(H7:K7)</f>
        <v>0</v>
      </c>
      <c r="H7" s="10"/>
      <c r="I7" s="10"/>
      <c r="J7" s="10"/>
      <c r="K7" s="10"/>
      <c r="L7" s="4"/>
    </row>
    <row r="8" spans="1:12" ht="18" customHeight="1">
      <c r="A8" s="6" t="s">
        <v>476</v>
      </c>
      <c r="B8" s="4"/>
      <c r="C8" s="4"/>
      <c r="D8" s="4"/>
      <c r="E8" s="10"/>
      <c r="F8" s="10"/>
      <c r="G8" s="8">
        <f t="shared" si="1"/>
        <v>0</v>
      </c>
      <c r="H8" s="10"/>
      <c r="I8" s="10"/>
      <c r="J8" s="10"/>
      <c r="K8" s="10"/>
      <c r="L8" s="4"/>
    </row>
    <row r="9" spans="1:12" ht="18" customHeight="1">
      <c r="A9" s="6" t="s">
        <v>477</v>
      </c>
      <c r="B9" s="4"/>
      <c r="C9" s="4"/>
      <c r="D9" s="4"/>
      <c r="E9" s="10"/>
      <c r="F9" s="10"/>
      <c r="G9" s="8">
        <f t="shared" si="1"/>
        <v>0</v>
      </c>
      <c r="H9" s="10"/>
      <c r="I9" s="10"/>
      <c r="J9" s="10"/>
      <c r="K9" s="10"/>
      <c r="L9" s="4"/>
    </row>
    <row r="10" spans="1:12" ht="18" customHeight="1">
      <c r="A10" s="6" t="s">
        <v>478</v>
      </c>
      <c r="B10" s="4"/>
      <c r="C10" s="4"/>
      <c r="D10" s="4"/>
      <c r="E10" s="10"/>
      <c r="F10" s="10"/>
      <c r="G10" s="8">
        <f t="shared" si="1"/>
        <v>0</v>
      </c>
      <c r="H10" s="10"/>
      <c r="I10" s="10"/>
      <c r="J10" s="10"/>
      <c r="K10" s="10"/>
      <c r="L10" s="4"/>
    </row>
    <row r="11" spans="1:12" ht="18" customHeight="1">
      <c r="A11" s="6" t="s">
        <v>479</v>
      </c>
      <c r="B11" s="4"/>
      <c r="C11" s="4"/>
      <c r="D11" s="4"/>
      <c r="E11" s="10"/>
      <c r="F11" s="10"/>
      <c r="G11" s="8">
        <f t="shared" si="1"/>
        <v>0</v>
      </c>
      <c r="H11" s="10"/>
      <c r="I11" s="10"/>
      <c r="J11" s="10"/>
      <c r="K11" s="10"/>
      <c r="L11" s="4"/>
    </row>
    <row r="12" spans="1:12" ht="18" customHeight="1">
      <c r="A12" s="6" t="s">
        <v>480</v>
      </c>
      <c r="B12" s="4"/>
      <c r="C12" s="4"/>
      <c r="D12" s="4"/>
      <c r="E12" s="10"/>
      <c r="F12" s="10"/>
      <c r="G12" s="8">
        <f t="shared" si="1"/>
        <v>0</v>
      </c>
      <c r="H12" s="10"/>
      <c r="I12" s="10"/>
      <c r="J12" s="10"/>
      <c r="K12" s="10"/>
      <c r="L12" s="4"/>
    </row>
    <row r="13" spans="1:12" ht="18" customHeight="1">
      <c r="A13" s="6" t="s">
        <v>481</v>
      </c>
      <c r="B13" s="4"/>
      <c r="C13" s="4"/>
      <c r="D13" s="4"/>
      <c r="E13" s="10"/>
      <c r="F13" s="10"/>
      <c r="G13" s="8">
        <f t="shared" si="1"/>
        <v>0</v>
      </c>
      <c r="H13" s="10"/>
      <c r="I13" s="10"/>
      <c r="J13" s="10"/>
      <c r="K13" s="10"/>
      <c r="L13" s="4"/>
    </row>
    <row r="14" spans="1:12" ht="18" customHeight="1">
      <c r="A14" s="6" t="s">
        <v>482</v>
      </c>
      <c r="B14" s="4"/>
      <c r="C14" s="4"/>
      <c r="D14" s="4"/>
      <c r="E14" s="10"/>
      <c r="F14" s="10"/>
      <c r="G14" s="8">
        <f t="shared" si="1"/>
        <v>0</v>
      </c>
      <c r="H14" s="10"/>
      <c r="I14" s="10"/>
      <c r="J14" s="10"/>
      <c r="K14" s="10"/>
      <c r="L14" s="4"/>
    </row>
    <row r="15" spans="1:12" ht="18" customHeight="1">
      <c r="A15" s="6" t="s">
        <v>483</v>
      </c>
      <c r="B15" s="4"/>
      <c r="C15" s="4"/>
      <c r="D15" s="4"/>
      <c r="E15" s="10"/>
      <c r="F15" s="10"/>
      <c r="G15" s="8">
        <f t="shared" si="1"/>
        <v>0</v>
      </c>
      <c r="H15" s="10"/>
      <c r="I15" s="10"/>
      <c r="J15" s="10"/>
      <c r="K15" s="10"/>
      <c r="L15" s="4"/>
    </row>
    <row r="16" spans="1:12" ht="18" customHeight="1">
      <c r="A16" s="6" t="s">
        <v>484</v>
      </c>
      <c r="B16" s="4"/>
      <c r="C16" s="4"/>
      <c r="D16" s="4"/>
      <c r="E16" s="10"/>
      <c r="F16" s="10"/>
      <c r="G16" s="8">
        <f t="shared" si="1"/>
        <v>0</v>
      </c>
      <c r="H16" s="10"/>
      <c r="I16" s="10"/>
      <c r="J16" s="10"/>
      <c r="K16" s="10"/>
      <c r="L16" s="4"/>
    </row>
    <row r="17" spans="1:12" ht="18" customHeight="1">
      <c r="A17" s="6" t="s">
        <v>485</v>
      </c>
      <c r="B17" s="4"/>
      <c r="C17" s="4"/>
      <c r="D17" s="4"/>
      <c r="E17" s="10"/>
      <c r="F17" s="10"/>
      <c r="G17" s="8">
        <f t="shared" si="1"/>
        <v>0</v>
      </c>
      <c r="H17" s="10"/>
      <c r="I17" s="10"/>
      <c r="J17" s="10"/>
      <c r="K17" s="10"/>
      <c r="L17" s="4"/>
    </row>
    <row r="18" spans="1:12" ht="18" customHeight="1">
      <c r="A18" s="6" t="s">
        <v>486</v>
      </c>
      <c r="B18" s="4"/>
      <c r="C18" s="4"/>
      <c r="D18" s="4"/>
      <c r="E18" s="10"/>
      <c r="F18" s="10"/>
      <c r="G18" s="8">
        <f t="shared" si="1"/>
        <v>0</v>
      </c>
      <c r="H18" s="10"/>
      <c r="I18" s="10"/>
      <c r="J18" s="10"/>
      <c r="K18" s="10"/>
      <c r="L18" s="4"/>
    </row>
    <row r="19" spans="1:12" ht="18" customHeight="1">
      <c r="A19" s="6" t="s">
        <v>487</v>
      </c>
      <c r="B19" s="4"/>
      <c r="C19" s="4"/>
      <c r="D19" s="4"/>
      <c r="E19" s="10"/>
      <c r="F19" s="10"/>
      <c r="G19" s="8">
        <f t="shared" si="1"/>
        <v>0</v>
      </c>
      <c r="H19" s="10"/>
      <c r="I19" s="10"/>
      <c r="J19" s="10"/>
      <c r="K19" s="10"/>
      <c r="L19" s="4"/>
    </row>
    <row r="20" spans="1:12" ht="18" customHeight="1">
      <c r="A20" s="4"/>
      <c r="B20" s="11"/>
      <c r="C20" s="12" t="s">
        <v>310</v>
      </c>
      <c r="D20" s="4"/>
      <c r="E20" s="11"/>
      <c r="F20" s="11"/>
      <c r="G20" s="11"/>
      <c r="H20" s="12" t="s">
        <v>328</v>
      </c>
      <c r="I20" s="4"/>
      <c r="J20" s="4"/>
      <c r="K20" s="4"/>
      <c r="L20" s="4"/>
    </row>
    <row r="21" spans="1:12" ht="18" customHeight="1">
      <c r="A21" s="11" t="s">
        <v>424</v>
      </c>
      <c r="B21" s="4" t="s">
        <v>488</v>
      </c>
      <c r="C21" s="4" t="s">
        <v>488</v>
      </c>
      <c r="D21" s="4" t="s">
        <v>488</v>
      </c>
      <c r="E21" s="4" t="s">
        <v>488</v>
      </c>
      <c r="F21" s="4" t="s">
        <v>488</v>
      </c>
      <c r="G21" s="4" t="s">
        <v>488</v>
      </c>
      <c r="H21" s="4" t="s">
        <v>488</v>
      </c>
      <c r="I21" s="4" t="s">
        <v>488</v>
      </c>
      <c r="J21" s="4" t="s">
        <v>488</v>
      </c>
      <c r="K21" s="4" t="s">
        <v>488</v>
      </c>
      <c r="L21" s="4" t="s">
        <v>488</v>
      </c>
    </row>
    <row r="22" spans="1:12" ht="18" customHeight="1">
      <c r="A22" s="4"/>
      <c r="B22" s="4" t="s">
        <v>489</v>
      </c>
      <c r="C22" s="4" t="s">
        <v>489</v>
      </c>
      <c r="D22" s="4" t="s">
        <v>489</v>
      </c>
      <c r="E22" s="4" t="s">
        <v>489</v>
      </c>
      <c r="F22" s="4" t="s">
        <v>489</v>
      </c>
      <c r="G22" s="4" t="s">
        <v>489</v>
      </c>
      <c r="H22" s="4" t="s">
        <v>489</v>
      </c>
      <c r="I22" s="4" t="s">
        <v>489</v>
      </c>
      <c r="J22" s="4" t="s">
        <v>489</v>
      </c>
      <c r="K22" s="4" t="s">
        <v>489</v>
      </c>
      <c r="L22" s="4" t="s">
        <v>489</v>
      </c>
    </row>
    <row r="23" spans="1:12" ht="18" customHeight="1">
      <c r="A23" s="4"/>
      <c r="B23" s="4" t="s">
        <v>490</v>
      </c>
      <c r="C23" s="4" t="s">
        <v>490</v>
      </c>
      <c r="D23" s="4" t="s">
        <v>490</v>
      </c>
      <c r="E23" s="4" t="s">
        <v>490</v>
      </c>
      <c r="F23" s="4" t="s">
        <v>490</v>
      </c>
      <c r="G23" s="4" t="s">
        <v>490</v>
      </c>
      <c r="H23" s="4" t="s">
        <v>490</v>
      </c>
      <c r="I23" s="4" t="s">
        <v>490</v>
      </c>
      <c r="J23" s="4" t="s">
        <v>490</v>
      </c>
      <c r="K23" s="4" t="s">
        <v>490</v>
      </c>
      <c r="L23" s="4" t="s">
        <v>490</v>
      </c>
    </row>
    <row r="24" spans="1:12" ht="18" customHeight="1">
      <c r="A24" s="4"/>
      <c r="B24" s="4" t="s">
        <v>491</v>
      </c>
      <c r="C24" s="4" t="s">
        <v>491</v>
      </c>
      <c r="D24" s="4" t="s">
        <v>491</v>
      </c>
      <c r="E24" s="4" t="s">
        <v>491</v>
      </c>
      <c r="F24" s="4" t="s">
        <v>491</v>
      </c>
      <c r="G24" s="4" t="s">
        <v>491</v>
      </c>
      <c r="H24" s="4" t="s">
        <v>491</v>
      </c>
      <c r="I24" s="4" t="s">
        <v>491</v>
      </c>
      <c r="J24" s="4" t="s">
        <v>491</v>
      </c>
      <c r="K24" s="4" t="s">
        <v>491</v>
      </c>
      <c r="L24" s="4" t="s">
        <v>491</v>
      </c>
    </row>
    <row r="25" spans="1:12" ht="18" customHeight="1">
      <c r="A25" s="4" t="s">
        <v>446</v>
      </c>
      <c r="B25" s="2"/>
      <c r="C25" s="2"/>
      <c r="D25" s="2"/>
      <c r="E25" s="2"/>
      <c r="F25" s="2"/>
      <c r="G25" s="2"/>
      <c r="H25" s="2"/>
      <c r="I25" s="2"/>
      <c r="J25" s="2"/>
      <c r="K25" s="2"/>
      <c r="L25" s="2"/>
    </row>
    <row r="26" spans="1:12" ht="18" customHeight="1">
      <c r="A26" s="4"/>
      <c r="B26" s="2"/>
      <c r="C26" s="2"/>
      <c r="D26" s="2"/>
      <c r="E26" s="2"/>
      <c r="F26" s="2"/>
      <c r="G26" s="2"/>
      <c r="H26" s="2"/>
      <c r="I26" s="2"/>
      <c r="J26" s="2"/>
      <c r="K26" s="2"/>
      <c r="L26" s="2"/>
    </row>
    <row r="27" spans="1:12" ht="18" customHeight="1">
      <c r="A27" s="4"/>
      <c r="B27" s="2"/>
      <c r="C27" s="2"/>
      <c r="D27" s="2"/>
      <c r="E27" s="2"/>
      <c r="F27" s="2"/>
      <c r="G27" s="2"/>
      <c r="H27" s="2"/>
      <c r="I27" s="2"/>
      <c r="J27" s="2"/>
      <c r="K27" s="2"/>
      <c r="L27" s="2"/>
    </row>
    <row r="28" spans="1:12" ht="18" customHeight="1">
      <c r="A28" s="4"/>
      <c r="B28" s="2"/>
      <c r="C28" s="2"/>
      <c r="D28" s="2"/>
      <c r="E28" s="2"/>
      <c r="F28" s="2"/>
      <c r="G28" s="2"/>
      <c r="H28" s="2"/>
      <c r="I28" s="2"/>
      <c r="J28" s="2"/>
      <c r="K28" s="2"/>
      <c r="L28" s="2"/>
    </row>
    <row r="29" spans="1:12" ht="18" customHeight="1">
      <c r="A29" s="4"/>
      <c r="B29" s="2"/>
      <c r="C29" s="2"/>
      <c r="D29" s="2"/>
      <c r="E29" s="2"/>
      <c r="F29" s="2"/>
      <c r="G29" s="2"/>
      <c r="H29" s="2"/>
      <c r="I29" s="2"/>
      <c r="J29" s="2"/>
      <c r="K29" s="2"/>
      <c r="L29" s="2"/>
    </row>
  </sheetData>
  <sheetProtection/>
  <mergeCells count="17">
    <mergeCell ref="B1:L1"/>
    <mergeCell ref="G3:K3"/>
    <mergeCell ref="B21:L21"/>
    <mergeCell ref="B22:L22"/>
    <mergeCell ref="B23:L23"/>
    <mergeCell ref="B24:L24"/>
    <mergeCell ref="B25:L25"/>
    <mergeCell ref="B26:L26"/>
    <mergeCell ref="B27:L27"/>
    <mergeCell ref="B28:L28"/>
    <mergeCell ref="B29:L29"/>
    <mergeCell ref="A3:A5"/>
    <mergeCell ref="B3:B4"/>
    <mergeCell ref="C3:C4"/>
    <mergeCell ref="D3:D4"/>
    <mergeCell ref="E3:E4"/>
    <mergeCell ref="F3:F4"/>
  </mergeCells>
  <printOptions/>
  <pageMargins left="0.75" right="0.75" top="1" bottom="1" header="0.5" footer="0.5"/>
  <pageSetup horizontalDpi="300" verticalDpi="300" orientation="portrait" paperSize="9"/>
  <legacyDrawing r:id="rId2"/>
</worksheet>
</file>

<file path=xl/worksheets/sheet9.xml><?xml version="1.0" encoding="utf-8"?>
<worksheet xmlns="http://schemas.openxmlformats.org/spreadsheetml/2006/main" xmlns:r="http://schemas.openxmlformats.org/officeDocument/2006/relationships">
  <sheetPr>
    <tabColor rgb="FFFFFF00"/>
  </sheetPr>
  <dimension ref="A1:M21"/>
  <sheetViews>
    <sheetView workbookViewId="0" topLeftCell="A1">
      <selection activeCell="G3" sqref="G3:G4"/>
    </sheetView>
  </sheetViews>
  <sheetFormatPr defaultColWidth="9.140625" defaultRowHeight="12.75"/>
  <cols>
    <col min="1" max="1" width="11.28125" style="0" customWidth="1"/>
    <col min="2" max="2" width="27.28125" style="0" customWidth="1"/>
    <col min="3" max="3" width="15.140625" style="0" customWidth="1"/>
    <col min="4" max="4" width="16.57421875" style="0" customWidth="1"/>
    <col min="5" max="7" width="16.7109375" style="0" customWidth="1"/>
    <col min="8" max="12" width="16.28125" style="0" customWidth="1"/>
    <col min="13" max="13" width="17.28125" style="0" customWidth="1"/>
  </cols>
  <sheetData>
    <row r="1" spans="1:13" ht="40.5" customHeight="1">
      <c r="A1" s="16"/>
      <c r="B1" s="16" t="s">
        <v>492</v>
      </c>
      <c r="C1" s="16" t="s">
        <v>492</v>
      </c>
      <c r="D1" s="16" t="s">
        <v>492</v>
      </c>
      <c r="E1" s="16" t="s">
        <v>492</v>
      </c>
      <c r="F1" s="16" t="s">
        <v>492</v>
      </c>
      <c r="G1" s="16" t="s">
        <v>492</v>
      </c>
      <c r="H1" s="16" t="s">
        <v>492</v>
      </c>
      <c r="I1" s="16" t="s">
        <v>492</v>
      </c>
      <c r="J1" s="16" t="s">
        <v>492</v>
      </c>
      <c r="K1" s="16" t="s">
        <v>492</v>
      </c>
      <c r="L1" s="16" t="s">
        <v>492</v>
      </c>
      <c r="M1" s="16" t="s">
        <v>492</v>
      </c>
    </row>
    <row r="2" spans="1:13" ht="18" customHeight="1">
      <c r="A2" s="4" t="s">
        <v>272</v>
      </c>
      <c r="B2" s="12"/>
      <c r="C2" s="21"/>
      <c r="D2" s="4"/>
      <c r="E2" s="4"/>
      <c r="F2" s="4"/>
      <c r="G2" s="98" t="s">
        <v>273</v>
      </c>
      <c r="H2" s="11"/>
      <c r="I2" s="11"/>
      <c r="J2" s="11"/>
      <c r="K2" s="11"/>
      <c r="L2" s="11" t="s">
        <v>1</v>
      </c>
      <c r="M2" s="4"/>
    </row>
    <row r="3" spans="1:13" ht="18" customHeight="1">
      <c r="A3" s="6" t="s">
        <v>2</v>
      </c>
      <c r="B3" s="6" t="s">
        <v>493</v>
      </c>
      <c r="C3" s="6" t="s">
        <v>494</v>
      </c>
      <c r="D3" s="6" t="s">
        <v>495</v>
      </c>
      <c r="E3" s="6" t="s">
        <v>496</v>
      </c>
      <c r="F3" s="6" t="s">
        <v>497</v>
      </c>
      <c r="G3" s="6" t="s">
        <v>498</v>
      </c>
      <c r="H3" s="6" t="s">
        <v>499</v>
      </c>
      <c r="I3" s="6" t="s">
        <v>499</v>
      </c>
      <c r="J3" s="6" t="s">
        <v>499</v>
      </c>
      <c r="K3" s="6" t="s">
        <v>499</v>
      </c>
      <c r="L3" s="6" t="s">
        <v>499</v>
      </c>
      <c r="M3" s="6" t="s">
        <v>36</v>
      </c>
    </row>
    <row r="4" spans="1:13" ht="18" customHeight="1">
      <c r="A4" s="6" t="s">
        <v>2</v>
      </c>
      <c r="B4" s="6" t="s">
        <v>493</v>
      </c>
      <c r="C4" s="6" t="s">
        <v>494</v>
      </c>
      <c r="D4" s="6" t="s">
        <v>495</v>
      </c>
      <c r="E4" s="6" t="s">
        <v>496</v>
      </c>
      <c r="F4" s="6" t="s">
        <v>497</v>
      </c>
      <c r="G4" s="6" t="s">
        <v>498</v>
      </c>
      <c r="H4" s="6" t="s">
        <v>296</v>
      </c>
      <c r="I4" s="76" t="s">
        <v>306</v>
      </c>
      <c r="J4" s="76" t="s">
        <v>307</v>
      </c>
      <c r="K4" s="76" t="s">
        <v>308</v>
      </c>
      <c r="L4" s="76" t="s">
        <v>309</v>
      </c>
      <c r="M4" s="4"/>
    </row>
    <row r="5" spans="1:13" ht="18" customHeight="1">
      <c r="A5" s="6" t="s">
        <v>2</v>
      </c>
      <c r="B5" s="13" t="s">
        <v>263</v>
      </c>
      <c r="C5" s="13" t="s">
        <v>473</v>
      </c>
      <c r="D5" s="13" t="s">
        <v>473</v>
      </c>
      <c r="E5" s="13" t="s">
        <v>473</v>
      </c>
      <c r="F5" s="8">
        <f aca="true" t="shared" si="0" ref="F5:L5">SUM(F6:F11)</f>
        <v>0</v>
      </c>
      <c r="G5" s="8">
        <f t="shared" si="0"/>
        <v>0</v>
      </c>
      <c r="H5" s="8">
        <f t="shared" si="0"/>
        <v>0</v>
      </c>
      <c r="I5" s="8">
        <f t="shared" si="0"/>
        <v>0</v>
      </c>
      <c r="J5" s="8">
        <f t="shared" si="0"/>
        <v>0</v>
      </c>
      <c r="K5" s="8">
        <f t="shared" si="0"/>
        <v>0</v>
      </c>
      <c r="L5" s="8">
        <f t="shared" si="0"/>
        <v>0</v>
      </c>
      <c r="M5" s="4"/>
    </row>
    <row r="6" spans="1:13" ht="18" customHeight="1">
      <c r="A6" s="6" t="s">
        <v>474</v>
      </c>
      <c r="B6" s="4" t="s">
        <v>500</v>
      </c>
      <c r="C6" s="4"/>
      <c r="D6" s="4"/>
      <c r="E6" s="4"/>
      <c r="F6" s="10"/>
      <c r="G6" s="10"/>
      <c r="H6" s="8">
        <f aca="true" t="shared" si="1" ref="H6:H11">SUM(I6:L6)</f>
        <v>0</v>
      </c>
      <c r="I6" s="10"/>
      <c r="J6" s="10"/>
      <c r="K6" s="10"/>
      <c r="L6" s="10"/>
      <c r="M6" s="4"/>
    </row>
    <row r="7" spans="1:13" ht="18" customHeight="1">
      <c r="A7" s="6" t="s">
        <v>475</v>
      </c>
      <c r="B7" s="4" t="s">
        <v>501</v>
      </c>
      <c r="C7" s="4"/>
      <c r="D7" s="4"/>
      <c r="E7" s="4"/>
      <c r="F7" s="10"/>
      <c r="G7" s="10"/>
      <c r="H7" s="8">
        <f t="shared" si="1"/>
        <v>0</v>
      </c>
      <c r="I7" s="10"/>
      <c r="J7" s="10"/>
      <c r="K7" s="10"/>
      <c r="L7" s="10"/>
      <c r="M7" s="4"/>
    </row>
    <row r="8" spans="1:13" ht="18" customHeight="1">
      <c r="A8" s="6" t="s">
        <v>476</v>
      </c>
      <c r="B8" s="4" t="s">
        <v>502</v>
      </c>
      <c r="C8" s="4"/>
      <c r="D8" s="4"/>
      <c r="E8" s="4"/>
      <c r="F8" s="10"/>
      <c r="G8" s="10"/>
      <c r="H8" s="8">
        <f t="shared" si="1"/>
        <v>0</v>
      </c>
      <c r="I8" s="10"/>
      <c r="J8" s="10"/>
      <c r="K8" s="10"/>
      <c r="L8" s="10"/>
      <c r="M8" s="4"/>
    </row>
    <row r="9" spans="1:13" ht="18" customHeight="1">
      <c r="A9" s="6" t="s">
        <v>477</v>
      </c>
      <c r="B9" s="4" t="s">
        <v>503</v>
      </c>
      <c r="C9" s="4"/>
      <c r="D9" s="4"/>
      <c r="E9" s="4"/>
      <c r="F9" s="10"/>
      <c r="G9" s="10"/>
      <c r="H9" s="8">
        <f t="shared" si="1"/>
        <v>0</v>
      </c>
      <c r="I9" s="10"/>
      <c r="J9" s="10"/>
      <c r="K9" s="10"/>
      <c r="L9" s="10"/>
      <c r="M9" s="4"/>
    </row>
    <row r="10" spans="1:13" ht="18" customHeight="1">
      <c r="A10" s="6" t="s">
        <v>478</v>
      </c>
      <c r="B10" s="4" t="s">
        <v>504</v>
      </c>
      <c r="C10" s="4"/>
      <c r="D10" s="4"/>
      <c r="E10" s="4"/>
      <c r="F10" s="10"/>
      <c r="G10" s="10"/>
      <c r="H10" s="8">
        <f t="shared" si="1"/>
        <v>0</v>
      </c>
      <c r="I10" s="10"/>
      <c r="J10" s="10"/>
      <c r="K10" s="10"/>
      <c r="L10" s="10"/>
      <c r="M10" s="4"/>
    </row>
    <row r="11" spans="1:13" ht="18" customHeight="1">
      <c r="A11" s="6" t="s">
        <v>479</v>
      </c>
      <c r="B11" s="4" t="s">
        <v>505</v>
      </c>
      <c r="C11" s="4"/>
      <c r="D11" s="4"/>
      <c r="E11" s="4"/>
      <c r="F11" s="10"/>
      <c r="G11" s="10"/>
      <c r="H11" s="8">
        <f t="shared" si="1"/>
        <v>0</v>
      </c>
      <c r="I11" s="10"/>
      <c r="J11" s="10"/>
      <c r="K11" s="10"/>
      <c r="L11" s="10"/>
      <c r="M11" s="4"/>
    </row>
    <row r="12" spans="1:13" ht="18" customHeight="1">
      <c r="A12" s="4"/>
      <c r="B12" s="11"/>
      <c r="C12" s="12" t="s">
        <v>310</v>
      </c>
      <c r="D12" s="4"/>
      <c r="E12" s="11"/>
      <c r="F12" s="11"/>
      <c r="G12" s="11"/>
      <c r="H12" s="11"/>
      <c r="I12" s="12" t="s">
        <v>328</v>
      </c>
      <c r="J12" s="4"/>
      <c r="K12" s="4"/>
      <c r="L12" s="4"/>
      <c r="M12" s="4"/>
    </row>
    <row r="13" spans="1:13" ht="18" customHeight="1">
      <c r="A13" s="4" t="s">
        <v>424</v>
      </c>
      <c r="B13" s="4" t="s">
        <v>506</v>
      </c>
      <c r="C13" s="4" t="s">
        <v>506</v>
      </c>
      <c r="D13" s="4" t="s">
        <v>506</v>
      </c>
      <c r="E13" s="4" t="s">
        <v>506</v>
      </c>
      <c r="F13" s="4" t="s">
        <v>506</v>
      </c>
      <c r="G13" s="4" t="s">
        <v>506</v>
      </c>
      <c r="H13" s="4" t="s">
        <v>506</v>
      </c>
      <c r="I13" s="4" t="s">
        <v>506</v>
      </c>
      <c r="J13" s="4" t="s">
        <v>506</v>
      </c>
      <c r="K13" s="4" t="s">
        <v>506</v>
      </c>
      <c r="L13" s="4" t="s">
        <v>506</v>
      </c>
      <c r="M13" s="4" t="s">
        <v>506</v>
      </c>
    </row>
    <row r="14" spans="1:13" ht="18" customHeight="1">
      <c r="A14" s="4"/>
      <c r="B14" s="4" t="s">
        <v>507</v>
      </c>
      <c r="C14" s="4" t="s">
        <v>507</v>
      </c>
      <c r="D14" s="4" t="s">
        <v>507</v>
      </c>
      <c r="E14" s="4" t="s">
        <v>507</v>
      </c>
      <c r="F14" s="4" t="s">
        <v>507</v>
      </c>
      <c r="G14" s="4" t="s">
        <v>507</v>
      </c>
      <c r="H14" s="4" t="s">
        <v>507</v>
      </c>
      <c r="I14" s="4" t="s">
        <v>507</v>
      </c>
      <c r="J14" s="4" t="s">
        <v>507</v>
      </c>
      <c r="K14" s="4" t="s">
        <v>507</v>
      </c>
      <c r="L14" s="4" t="s">
        <v>507</v>
      </c>
      <c r="M14" s="4" t="s">
        <v>507</v>
      </c>
    </row>
    <row r="15" spans="1:13" ht="18" customHeight="1">
      <c r="A15" s="4"/>
      <c r="B15" s="4" t="s">
        <v>508</v>
      </c>
      <c r="C15" s="4" t="s">
        <v>508</v>
      </c>
      <c r="D15" s="4" t="s">
        <v>508</v>
      </c>
      <c r="E15" s="4" t="s">
        <v>508</v>
      </c>
      <c r="F15" s="4" t="s">
        <v>508</v>
      </c>
      <c r="G15" s="4" t="s">
        <v>508</v>
      </c>
      <c r="H15" s="4" t="s">
        <v>508</v>
      </c>
      <c r="I15" s="4" t="s">
        <v>508</v>
      </c>
      <c r="J15" s="4" t="s">
        <v>508</v>
      </c>
      <c r="K15" s="4" t="s">
        <v>508</v>
      </c>
      <c r="L15" s="4" t="s">
        <v>508</v>
      </c>
      <c r="M15" s="4" t="s">
        <v>508</v>
      </c>
    </row>
    <row r="16" spans="1:13" ht="18" customHeight="1">
      <c r="A16" s="4"/>
      <c r="B16" s="4" t="s">
        <v>509</v>
      </c>
      <c r="C16" s="4" t="s">
        <v>509</v>
      </c>
      <c r="D16" s="4" t="s">
        <v>509</v>
      </c>
      <c r="E16" s="4" t="s">
        <v>509</v>
      </c>
      <c r="F16" s="4" t="s">
        <v>509</v>
      </c>
      <c r="G16" s="4" t="s">
        <v>509</v>
      </c>
      <c r="H16" s="4" t="s">
        <v>509</v>
      </c>
      <c r="I16" s="4" t="s">
        <v>509</v>
      </c>
      <c r="J16" s="4" t="s">
        <v>509</v>
      </c>
      <c r="K16" s="4" t="s">
        <v>509</v>
      </c>
      <c r="L16" s="4" t="s">
        <v>509</v>
      </c>
      <c r="M16" s="4" t="s">
        <v>509</v>
      </c>
    </row>
    <row r="17" spans="1:13" ht="18.75" customHeight="1">
      <c r="A17" s="4" t="s">
        <v>446</v>
      </c>
      <c r="B17" s="2"/>
      <c r="C17" s="2"/>
      <c r="D17" s="2"/>
      <c r="E17" s="2"/>
      <c r="F17" s="2"/>
      <c r="G17" s="2"/>
      <c r="H17" s="2"/>
      <c r="I17" s="2"/>
      <c r="J17" s="2"/>
      <c r="K17" s="2"/>
      <c r="L17" s="2"/>
      <c r="M17" s="2"/>
    </row>
    <row r="18" spans="1:13" ht="18" customHeight="1">
      <c r="A18" s="4"/>
      <c r="B18" s="2"/>
      <c r="C18" s="2"/>
      <c r="D18" s="2"/>
      <c r="E18" s="2"/>
      <c r="F18" s="2"/>
      <c r="G18" s="2"/>
      <c r="H18" s="2"/>
      <c r="I18" s="2"/>
      <c r="J18" s="2"/>
      <c r="K18" s="2"/>
      <c r="L18" s="2"/>
      <c r="M18" s="2"/>
    </row>
    <row r="19" spans="1:13" ht="18" customHeight="1">
      <c r="A19" s="4"/>
      <c r="B19" s="2"/>
      <c r="C19" s="2"/>
      <c r="D19" s="2"/>
      <c r="E19" s="2"/>
      <c r="F19" s="2"/>
      <c r="G19" s="2"/>
      <c r="H19" s="2"/>
      <c r="I19" s="2"/>
      <c r="J19" s="2"/>
      <c r="K19" s="2"/>
      <c r="L19" s="2"/>
      <c r="M19" s="2"/>
    </row>
    <row r="20" spans="1:13" ht="18" customHeight="1">
      <c r="A20" s="4"/>
      <c r="B20" s="2"/>
      <c r="C20" s="2"/>
      <c r="D20" s="2"/>
      <c r="E20" s="2"/>
      <c r="F20" s="2"/>
      <c r="G20" s="2"/>
      <c r="H20" s="2"/>
      <c r="I20" s="2"/>
      <c r="J20" s="2"/>
      <c r="K20" s="2"/>
      <c r="L20" s="2"/>
      <c r="M20" s="2"/>
    </row>
    <row r="21" spans="1:13" ht="18" customHeight="1">
      <c r="A21" s="4"/>
      <c r="B21" s="4"/>
      <c r="C21" s="4"/>
      <c r="D21" s="4"/>
      <c r="E21" s="4"/>
      <c r="F21" s="4"/>
      <c r="G21" s="4"/>
      <c r="H21" s="4"/>
      <c r="I21" s="4"/>
      <c r="J21" s="4"/>
      <c r="K21" s="4"/>
      <c r="L21" s="4"/>
      <c r="M21" s="4"/>
    </row>
  </sheetData>
  <sheetProtection/>
  <mergeCells count="18">
    <mergeCell ref="B1:M1"/>
    <mergeCell ref="H3:L3"/>
    <mergeCell ref="B13:M13"/>
    <mergeCell ref="B14:M14"/>
    <mergeCell ref="B15:M15"/>
    <mergeCell ref="B16:M16"/>
    <mergeCell ref="B17:M17"/>
    <mergeCell ref="B18:M18"/>
    <mergeCell ref="B19:M19"/>
    <mergeCell ref="B20:M20"/>
    <mergeCell ref="B21:M21"/>
    <mergeCell ref="A3:A5"/>
    <mergeCell ref="B3:B4"/>
    <mergeCell ref="C3:C4"/>
    <mergeCell ref="D3:D4"/>
    <mergeCell ref="E3:E4"/>
    <mergeCell ref="F3:F4"/>
    <mergeCell ref="G3:G4"/>
  </mergeCells>
  <printOptions/>
  <pageMargins left="0.75" right="0.75" top="1" bottom="1" header="0.5" footer="0.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WPS_1579483907</cp:lastModifiedBy>
  <cp:lastPrinted>2020-02-27T10:56:09Z</cp:lastPrinted>
  <dcterms:created xsi:type="dcterms:W3CDTF">2020-01-02T06:45:48Z</dcterms:created>
  <dcterms:modified xsi:type="dcterms:W3CDTF">2022-02-14T09:14:06Z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I">
    <vt:lpwstr>6FE7CD3E7F73403BB194E9191EDECC3B</vt:lpwstr>
  </property>
</Properties>
</file>